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032a4cddc4c4a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343391030213430f"/>
    <sheet name="Balance Sheet" sheetId="2" r:id="Ra22de78d1e894977"/>
    <sheet name="Cash Flow" sheetId="3" r:id="R3184fab8e62e4c80"/>
  </sheets>
  <definedNames>
    <definedName name="_xlnm.Print_Area" localSheetId="0">'Income Statement'!$A$1:$F$104,'Income Statement'!$H$5:$I$47</definedName>
    <definedName name="_xlnm.Print_Titles" localSheetId="0">'Income Statement'!$1:$6</definedName>
    <definedName name="_xlnm.Print_Area" localSheetId="1">'Balance Sheet'!$A$1:$F$58,'Balance Sheet'!$H$5:$I$40</definedName>
    <definedName name="_xlnm.Print_Titles" localSheetId="1">'Balance Sheet'!$1:$6</definedName>
    <definedName name="_xlnm.Print_Area" localSheetId="2">'Cash Flow'!$A$1:$F$42,'Cash Flow'!$H$5:$I$32</definedName>
    <definedName name="_xlnm.Print_Titles" localSheetId="2">'Cash Flow'!$1:$6</definedName>
  </definedNames>
</workbook>
</file>

<file path=xl/sharedStrings.xml><?xml version="1.0" encoding="utf-8"?>
<x:sst xmlns:x="http://schemas.openxmlformats.org/spreadsheetml/2006/main">
  <x:si>
    <x:t xml:space="preserve">2023</x:t>
  </x:si>
  <x:si>
    <x:t xml:space="preserve">2024</x:t>
  </x:si>
  <x:si>
    <x:t xml:space="preserve">2025</x:t>
  </x:si>
  <x:si>
    <x:t xml:space="preserve">2026</x:t>
  </x:si>
  <x:si>
    <x:t xml:space="preserve">2027</x:t>
  </x:si>
  <x:si>
    <x:t xml:space="preserve">EQUIPMENT SALES</x:t>
  </x:si>
  <x:si>
    <x:t xml:space="preserve">North America</x:t>
  </x:si>
  <x:si>
    <x:t xml:space="preserve">  Excavators (5-40 ton)</x:t>
  </x:si>
  <x:si>
    <x:t xml:space="preserve">  Wheel Loaders (2-8 yard)</x:t>
  </x:si>
  <x:si>
    <x:t xml:space="preserve">  Forklifts (3-10 ton)</x:t>
  </x:si>
  <x:si>
    <x:t xml:space="preserve">  Compactors &amp; Pavers</x:t>
  </x:si>
  <x:si>
    <x:t xml:space="preserve">Total North America Equipment</x:t>
  </x:si>
  <x:si>
    <x:t xml:space="preserve">Europe</x:t>
  </x:si>
  <x:si>
    <x:t xml:space="preserve">Total Europe Equipment</x:t>
  </x:si>
  <x:si>
    <x:t xml:space="preserve">Asia Pacific</x:t>
  </x:si>
  <x:si>
    <x:t xml:space="preserve">Total Asia Pacific Equipment</x:t>
  </x:si>
  <x:si>
    <x:t xml:space="preserve">Rest of World</x:t>
  </x:si>
  <x:si>
    <x:t xml:space="preserve">Total Rest of World Equipment</x:t>
  </x:si>
  <x:si>
    <x:t xml:space="preserve">TOTAL EQUIPMENT SALES</x:t>
  </x:si>
  <x:si>
    <x:t xml:space="preserve">SERVICE &amp; PARTS</x:t>
  </x:si>
  <x:si>
    <x:t xml:space="preserve">  Replacement Parts &amp; Components</x:t>
  </x:si>
  <x:si>
    <x:t xml:space="preserve">  Extended Warranty Contracts</x:t>
  </x:si>
  <x:si>
    <x:t xml:space="preserve">  Field Service &amp; Repairs</x:t>
  </x:si>
  <x:si>
    <x:t xml:space="preserve">  Operator Training Programs</x:t>
  </x:si>
  <x:si>
    <x:t xml:space="preserve">TOTAL SERVICE &amp; PARTS</x:t>
  </x:si>
  <x:si>
    <x:t xml:space="preserve">TOTAL REVENUE</x:t>
  </x:si>
  <x:si>
    <x:t xml:space="preserve">COST OF GOODS SOLD</x:t>
  </x:si>
  <x:si>
    <x:t xml:space="preserve">Equipment Manufacturing Costs</x:t>
  </x:si>
  <x:si>
    <x:t xml:space="preserve">  Steel &amp; Raw Materials</x:t>
  </x:si>
  <x:si>
    <x:t xml:space="preserve">  Hydraulic Systems &amp; Cylinders</x:t>
  </x:si>
  <x:si>
    <x:t xml:space="preserve">  Diesel Engines &amp; Powertrains</x:t>
  </x:si>
  <x:si>
    <x:t xml:space="preserve">  Electronics &amp; Control Systems</x:t>
  </x:si>
  <x:si>
    <x:t xml:space="preserve">  Tires, Tracks &amp; Undercarriage</x:t>
  </x:si>
  <x:si>
    <x:t xml:space="preserve">  Cab Assembly &amp; Operator Stations</x:t>
  </x:si>
  <x:si>
    <x:t xml:space="preserve">  Direct Manufacturing Labor</x:t>
  </x:si>
  <x:si>
    <x:t xml:space="preserve">  Freight &amp; Logistics</x:t>
  </x:si>
  <x:si>
    <x:t xml:space="preserve">Total Equipment COGS</x:t>
  </x:si>
  <x:si>
    <x:t xml:space="preserve">Service &amp; Parts Costs</x:t>
  </x:si>
  <x:si>
    <x:t xml:space="preserve">  Parts Inventory &amp; Procurement</x:t>
  </x:si>
  <x:si>
    <x:t xml:space="preserve">  Field Technician Labor</x:t>
  </x:si>
  <x:si>
    <x:t xml:space="preserve">  Service Vehicle Fleet &amp; Tools</x:t>
  </x:si>
  <x:si>
    <x:t xml:space="preserve">  Warranty Claims &amp; Repairs</x:t>
  </x:si>
  <x:si>
    <x:t xml:space="preserve">Total Service &amp; Parts COGS</x:t>
  </x:si>
  <x:si>
    <x:t xml:space="preserve">TOTAL COST OF GOODS SOLD</x:t>
  </x:si>
  <x:si>
    <x:t xml:space="preserve">GROSS PROFIT</x:t>
  </x:si>
  <x:si>
    <x:t xml:space="preserve">Gross Margin %</x:t>
  </x:si>
  <x:si>
    <x:t xml:space="preserve">OPERATING EXPENSES</x:t>
  </x:si>
  <x:si>
    <x:t xml:space="preserve">Sales &amp; Marketing</x:t>
  </x:si>
  <x:si>
    <x:t xml:space="preserve">  Sales Team &amp; Commissions</x:t>
  </x:si>
  <x:si>
    <x:t xml:space="preserve">  Dealer Network Support</x:t>
  </x:si>
  <x:si>
    <x:t xml:space="preserve">  Trade Shows &amp; Demonstrations</x:t>
  </x:si>
  <x:si>
    <x:t xml:space="preserve">  Marketing &amp; Advertising</x:t>
  </x:si>
  <x:si>
    <x:t xml:space="preserve">Total Sales &amp; Marketing</x:t>
  </x:si>
  <x:si>
    <x:t xml:space="preserve">Product Development &amp; Engineering</x:t>
  </x:si>
  <x:si>
    <x:t xml:space="preserve">  R&amp;D Engineering Staff</x:t>
  </x:si>
  <x:si>
    <x:t xml:space="preserve">  Prototype Development &amp; Testing</x:t>
  </x:si>
  <x:si>
    <x:t xml:space="preserve">  Regulatory &amp; Safety Certifications</x:t>
  </x:si>
  <x:si>
    <x:t xml:space="preserve">Total Product Development</x:t>
  </x:si>
  <x:si>
    <x:t xml:space="preserve">General &amp; Administrative</x:t>
  </x:si>
  <x:si>
    <x:t xml:space="preserve">  Executive &amp; Corporate Staff</x:t>
  </x:si>
  <x:si>
    <x:t xml:space="preserve">  Finance &amp; Accounting</x:t>
  </x:si>
  <x:si>
    <x:t xml:space="preserve">  Information Technology</x:t>
  </x:si>
  <x:si>
    <x:t xml:space="preserve">  Facilities &amp; Real Estate</x:t>
  </x:si>
  <x:si>
    <x:t xml:space="preserve">  Legal &amp; Professional Fees</x:t>
  </x:si>
  <x:si>
    <x:t xml:space="preserve">  Insurance</x:t>
  </x:si>
  <x:si>
    <x:t xml:space="preserve">Total General &amp; Administrative</x:t>
  </x:si>
  <x:si>
    <x:t xml:space="preserve">TOTAL OPERATING EXPENSES</x:t>
  </x:si>
  <x:si>
    <x:t xml:space="preserve">OPERATING INCOME (EBIT)</x:t>
  </x:si>
  <x:si>
    <x:t xml:space="preserve">Operating Margin %</x:t>
  </x:si>
  <x:si>
    <x:t xml:space="preserve">OTHER INCOME (EXPENSE)</x:t>
  </x:si>
  <x:si>
    <x:t xml:space="preserve">  Interest Expense on Debt</x:t>
  </x:si>
  <x:si>
    <x:t xml:space="preserve">  Interest Income on Cash</x:t>
  </x:si>
  <x:si>
    <x:t xml:space="preserve">  Foreign Exchange Gain (Loss)</x:t>
  </x:si>
  <x:si>
    <x:t xml:space="preserve">Total Other Income (Expense)</x:t>
  </x:si>
  <x:si>
    <x:t xml:space="preserve">INCOME BEFORE TAX</x:t>
  </x:si>
  <x:si>
    <x:t xml:space="preserve">Income Tax Expense</x:t>
  </x:si>
  <x:si>
    <x:t xml:space="preserve">Effective Tax Rate %</x:t>
  </x:si>
  <x:si>
    <x:t xml:space="preserve">NET INCOME</x:t>
  </x:si>
  <x:si>
    <x:t xml:space="preserve">Net Margin %</x:t>
  </x:si>
  <x:si>
    <x:t xml:space="preserve">ASSETS</x:t>
  </x:si>
  <x:si>
    <x:t xml:space="preserve">Current Assets</x:t>
  </x:si>
  <x:si>
    <x:t xml:space="preserve">  Cash &amp; Cash Equivalents</x:t>
  </x:si>
  <x:si>
    <x:t xml:space="preserve">  Short-Term Investments</x:t>
  </x:si>
  <x:si>
    <x:t xml:space="preserve">Accounts Receivable</x:t>
  </x:si>
  <x:si>
    <x:t xml:space="preserve">    Equipment Sales Receivables</x:t>
  </x:si>
  <x:si>
    <x:t xml:space="preserve">    Parts &amp; Service Receivables</x:t>
  </x:si>
  <x:si>
    <x:t xml:space="preserve">    Allowance for Doubtful Accounts</x:t>
  </x:si>
  <x:si>
    <x:t xml:space="preserve">  Accounts Receivable, net</x:t>
  </x:si>
  <x:si>
    <x:t xml:space="preserve">Inventory</x:t>
  </x:si>
  <x:si>
    <x:t xml:space="preserve">    Raw Materials (Steel, Components)</x:t>
  </x:si>
  <x:si>
    <x:t xml:space="preserve">    Work in Process (Assembly)</x:t>
  </x:si>
  <x:si>
    <x:t xml:space="preserve">    Finished Equipment</x:t>
  </x:si>
  <x:si>
    <x:t xml:space="preserve">    Service Parts Inventory</x:t>
  </x:si>
  <x:si>
    <x:t xml:space="preserve">  Total Inventory</x:t>
  </x:si>
  <x:si>
    <x:t xml:space="preserve">  Prepaid Expenses</x:t>
  </x:si>
  <x:si>
    <x:t xml:space="preserve">TOTAL CURRENT ASSETS</x:t>
  </x:si>
  <x:si>
    <x:t xml:space="preserve">Property, Plant &amp; Equipment</x:t>
  </x:si>
  <x:si>
    <x:t xml:space="preserve">  Manufacturing Facilities</x:t>
  </x:si>
  <x:si>
    <x:t xml:space="preserve">  Production Equipment &amp; Tooling</x:t>
  </x:si>
  <x:si>
    <x:t xml:space="preserve">  Service Centers &amp; Warehouses</x:t>
  </x:si>
  <x:si>
    <x:t xml:space="preserve">  Vehicles &amp; Mobile Equipment</x:t>
  </x:si>
  <x:si>
    <x:t xml:space="preserve">  Total PP&amp;E, Gross</x:t>
  </x:si>
  <x:si>
    <x:t xml:space="preserve">  Less: Accumulated Depreciation</x:t>
  </x:si>
  <x:si>
    <x:t xml:space="preserve">Net PP&amp;E</x:t>
  </x:si>
  <x:si>
    <x:t xml:space="preserve">Other Long-Term Assets</x:t>
  </x:si>
  <x:si>
    <x:t xml:space="preserve">TOTAL ASSETS</x:t>
  </x:si>
  <x:si>
    <x:t xml:space="preserve">LIABILITIES &amp; EQUITY</x:t>
  </x:si>
  <x:si>
    <x:t xml:space="preserve">Current Liabilities</x:t>
  </x:si>
  <x:si>
    <x:t xml:space="preserve">  Accounts Payable (Suppliers)</x:t>
  </x:si>
  <x:si>
    <x:t xml:space="preserve">  Accrued Payroll &amp; Benefits</x:t>
  </x:si>
  <x:si>
    <x:t xml:space="preserve">  Warranty Reserve - Current</x:t>
  </x:si>
  <x:si>
    <x:t xml:space="preserve">TOTAL CURRENT LIABILITIES</x:t>
  </x:si>
  <x:si>
    <x:t xml:space="preserve">Long-Term Debt</x:t>
  </x:si>
  <x:si>
    <x:t xml:space="preserve">Other Long-Term Liabilities</x:t>
  </x:si>
  <x:si>
    <x:t xml:space="preserve">TOTAL LIABILITIES</x:t>
  </x:si>
  <x:si>
    <x:t xml:space="preserve">Shareholders Equity</x:t>
  </x:si>
  <x:si>
    <x:t xml:space="preserve">  Common Stock</x:t>
  </x:si>
  <x:si>
    <x:t xml:space="preserve">  Retained Earnings</x:t>
  </x:si>
  <x:si>
    <x:t xml:space="preserve">TOTAL EQUITY</x:t>
  </x:si>
  <x:si>
    <x:t xml:space="preserve">TOTAL LIABILITIES &amp; EQUITY</x:t>
  </x:si>
  <x:si>
    <x:t xml:space="preserve">Balance Check</x:t>
  </x:si>
  <x:si>
    <x:t xml:space="preserve">OPERATING ACTIVITIES</x:t>
  </x:si>
  <x:si>
    <x:t xml:space="preserve">Net Income</x:t>
  </x:si>
  <x:si>
    <x:t xml:space="preserve">Adjustments:</x:t>
  </x:si>
  <x:si>
    <x:t xml:space="preserve">  Depreciation &amp; Amortization</x:t>
  </x:si>
  <x:si>
    <x:t xml:space="preserve">Changes in Working Capital:</x:t>
  </x:si>
  <x:si>
    <x:t xml:space="preserve">  (Increase) Decrease in Receivables</x:t>
  </x:si>
  <x:si>
    <x:t xml:space="preserve">  (Increase) Decrease in Inventory</x:t>
  </x:si>
  <x:si>
    <x:t xml:space="preserve">  (Increase) Decrease in Prepaid</x:t>
  </x:si>
  <x:si>
    <x:t xml:space="preserve">  Increase (Decrease) in Payables</x:t>
  </x:si>
  <x:si>
    <x:t xml:space="preserve">  Increase (Decrease) in Accruals</x:t>
  </x:si>
  <x:si>
    <x:t xml:space="preserve">  Increase (Decrease) in Warranty Reserve</x:t>
  </x:si>
  <x:si>
    <x:t xml:space="preserve">NET CASH FROM OPERATIONS</x:t>
  </x:si>
  <x:si>
    <x:t xml:space="preserve">INVESTING ACTIVITIES</x:t>
  </x:si>
  <x:si>
    <x:t xml:space="preserve">  Manufacturing Facilities CapEx</x:t>
  </x:si>
  <x:si>
    <x:t xml:space="preserve">  Production Equipment Purchases</x:t>
  </x:si>
  <x:si>
    <x:t xml:space="preserve">  Service Center Investments</x:t>
  </x:si>
  <x:si>
    <x:t xml:space="preserve">  Vehicle Fleet Additions</x:t>
  </x:si>
  <x:si>
    <x:t xml:space="preserve">Total CapEx</x:t>
  </x:si>
  <x:si>
    <x:t xml:space="preserve">NET CASH FROM INVESTING</x:t>
  </x:si>
  <x:si>
    <x:t xml:space="preserve">FINANCING ACTIVITIES</x:t>
  </x:si>
  <x:si>
    <x:t xml:space="preserve">NET CASH FROM FINANCING</x:t>
  </x:si>
  <x:si>
    <x:t xml:space="preserve">NET CHANGE IN CASH</x:t>
  </x:si>
  <x:si>
    <x:t xml:space="preserve">Cash at Beginning of Period</x:t>
  </x:si>
  <x:si>
    <x:t xml:space="preserve">CASH AT END OF PERIOD</x:t>
  </x:si>
  <x:si>
    <x:t xml:space="preserve">Cash Reconciliation Check</x:t>
  </x:si>
</x:sst>
</file>

<file path=xl/styles.xml><?xml version="1.0" encoding="utf-8"?>
<x:styleSheet xmlns:x="http://schemas.openxmlformats.org/spreadsheetml/2006/main">
  <x:numFmts count="7">
    <x:numFmt numFmtId="164" formatCode="\$#,##0;&quot;($&quot;#,##0\);\-"/>
    <x:numFmt numFmtId="200" formatCode="#,##0;(#,##0);&quot;-&quot;"/>
    <x:numFmt numFmtId="201" formatCode="0"/>
    <x:numFmt numFmtId="202" formatCode="0.0%"/>
    <x:numFmt numFmtId="203" formatCode="0.0%;(0.0%);&quot;-&quot;"/>
    <x:numFmt numFmtId="204" formatCode="$#,##0;($#,##0);&quot;-&quot;"/>
    <x:numFmt numFmtId="205" formatCode="0.00;(0.00);0.00"/>
  </x:numFmts>
  <x:fonts count="28">
    <x:font>
      <x:sz val="11"/>
      <x:color theme="1"/>
      <x:name val="Calibri"/>
    </x:font>
    <x:font>
      <x:sz val="10"/>
      <x:name val="Arial"/>
    </x:font>
    <x:font>
      <x:b/>
      <x:sz val="13"/>
      <x:color rgb="FFFFFFFF"/>
      <x:name val="Cambria"/>
    </x:font>
    <x:font>
      <x:i/>
      <x:sz val="9"/>
      <x:name val="Cambria"/>
    </x:font>
    <x:font>
      <x:b/>
      <x:sz val="11"/>
      <x:name val="Cambria"/>
    </x:font>
    <x:font>
      <x:b/>
      <x:sz val="11"/>
      <x:color rgb="FFFFFFFF"/>
      <x:name val="Cambria"/>
    </x:font>
    <x:font>
      <x:b/>
      <x:sz val="10"/>
      <x:name val="Cambria"/>
    </x:font>
    <x:font>
      <x:sz val="11"/>
      <x:color rgb="FF0000FF"/>
      <x:name val="Cambria"/>
    </x:font>
    <x:font>
      <x:sz val="11"/>
      <x:color rgb="FF000000"/>
      <x:name val="Cambria"/>
    </x:font>
    <x:font>
      <x:b/>
      <x:sz val="11"/>
      <x:color rgb="FF000000"/>
      <x:name val="Cambria"/>
    </x:font>
    <x:font>
      <x:b/>
      <x:sz val="12"/>
      <x:name val="Cambria"/>
    </x:font>
    <x:font>
      <x:b/>
      <x:sz val="12"/>
      <x:color rgb="FF000000"/>
      <x:name val="Cambria"/>
    </x:font>
    <x:font>
      <x:b/>
      <x:sz val="13"/>
      <x:name val="Cambria"/>
    </x:font>
    <x:font>
      <x:b/>
      <x:sz val="12"/>
      <x:color rgb="FFFFFFFF"/>
      <x:name val="Cambria"/>
    </x:font>
    <x:font>
      <x:i/>
      <x:sz val="10"/>
      <x:name val="Cambria"/>
    </x:font>
    <x:font>
      <x:sz val="11"/>
      <x:color rgb="FF008000"/>
      <x:name val="Cambria"/>
    </x:font>
    <x:font>
      <x:b/>
      <x:sz val="11"/>
      <x:color rgb="FFFF0000"/>
      <x:name val="Cambria"/>
    </x:font>
    <x:font>
      <x:sz val="10"/>
      <x:color rgb="FF19312D"/>
      <x:name val="Arial"/>
    </x:font>
    <x:font>
      <x:b/>
      <x:sz val="16"/>
      <x:color rgb="FF19312D"/>
      <x:name val="Arial"/>
    </x:font>
    <x:font>
      <x:i/>
      <x:sz val="10"/>
      <x:color rgb="FF536963"/>
      <x:name val="Arial"/>
    </x:font>
    <x:font>
      <x:b/>
      <x:sz val="10"/>
      <x:color rgb="FFFFFFFF"/>
      <x:name val="Arial"/>
    </x:font>
    <x:font>
      <x:sz val="10"/>
      <x:color rgb="FF536963"/>
      <x:name val="Arial"/>
    </x:font>
    <x:font>
      <x:sz val="9"/>
      <x:color rgb="FF0060BE"/>
      <x:name val="Arial"/>
    </x:font>
    <x:font>
      <x:b/>
      <x:sz val="10"/>
      <x:color rgb="FF19312D"/>
      <x:name val="Arial"/>
    </x:font>
    <x:font>
      <x:sz val="10"/>
      <x:color rgb="FF0060BE"/>
      <x:name val="Arial"/>
    </x:font>
    <x:font>
      <x:sz val="10"/>
      <x:color rgb="FF28694E"/>
      <x:name val="Arial"/>
    </x:font>
    <x:font>
      <x:b/>
      <x:sz val="10"/>
      <x:color rgb="FF28694E"/>
      <x:name val="Arial"/>
    </x:font>
    <x:font>
      <x:i/>
      <x:sz val="10"/>
      <x:color rgb="FF19312D"/>
      <x:name val="Arial"/>
    </x:font>
  </x:fonts>
  <x:fills count="1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E7E6E6"/>
      </x:patternFill>
    </x:fill>
    <x:fill>
      <x:patternFill patternType="solid">
        <x:fgColor rgb="FF4472C4"/>
      </x:patternFill>
    </x:fill>
    <x:fill>
      <x:patternFill patternType="solid">
        <x:fgColor rgb="FFD9E1F2"/>
      </x:patternFill>
    </x:fill>
    <x:fill>
      <x:patternFill patternType="solid">
        <x:fgColor rgb="FFFFF2CC"/>
      </x:patternFill>
    </x:fill>
    <x:fill>
      <x:patternFill patternType="solid">
        <x:fgColor rgb="FFFFD966"/>
      </x:patternFill>
    </x:fill>
    <x:fill>
      <x:patternFill patternType="solid">
        <x:fgColor rgb="FF92D050"/>
      </x:patternFill>
    </x:fill>
    <x:fill>
      <x:patternFill patternType="solid">
        <x:fgColor rgb="FF00B050"/>
      </x:patternFill>
    </x:fill>
    <x:fill>
      <x:patternFill patternType="solid">
        <x:fgColor rgb="FFF8F8F5"/>
      </x:patternFill>
    </x:fill>
    <x:fill>
      <x:patternFill patternType="solid">
        <x:fgColor rgb="FF19312D"/>
      </x:patternFill>
    </x:fill>
    <x:fill>
      <x:patternFill patternType="solid">
        <x:fgColor rgb="FFE2EBE6"/>
      </x:patternFill>
    </x:fill>
    <x:fill>
      <x:patternFill patternType="solid">
        <x:fgColor rgb="FFE8F1FA"/>
      </x:patternFill>
    </x:fill>
  </x:fills>
  <x:borders count="18">
    <x:border/>
    <x:border>
      <x:bottom style="thin">
        <x:color auto="1"/>
      </x:bottom>
    </x:border>
    <x:border>
      <x:top style="double">
        <x:color auto="1"/>
      </x:top>
      <x:bottom style="double">
        <x:color auto="1"/>
      </x:bottom>
    </x:border>
    <x:border diagonalUp="0" diagonalDown="0">
      <x:left style="none"/>
      <x:top style="none"/>
    </x:border>
    <x:border diagonalUp="0" diagonalDown="0">
      <x:top style="none"/>
    </x:border>
    <x:border diagonalUp="0" diagonalDown="0">
      <x:right style="none"/>
      <x:top style="none"/>
    </x:border>
    <x:border diagonalUp="0" diagonalDown="0">
      <x:left style="none"/>
    </x:border>
    <x:border diagonalUp="0" diagonalDown="0"/>
    <x:border diagonalUp="0" diagonalDown="0">
      <x:right style="none"/>
    </x:border>
    <x:border diagonalUp="0" diagonalDown="0">
      <x:bottom style="thin">
        <x:color auto="1"/>
      </x:bottom>
    </x:border>
    <x:border diagonalUp="0" diagonalDown="0">
      <x:top style="double">
        <x:color auto="1"/>
      </x:top>
      <x:bottom style="double">
        <x:color auto="1"/>
      </x:bottom>
    </x:border>
    <x:border diagonalUp="0" diagonalDown="0">
      <x:left style="none"/>
      <x:bottom style="none"/>
    </x:border>
    <x:border diagonalUp="0" diagonalDown="0">
      <x:bottom style="none"/>
    </x:border>
    <x:border diagonalUp="0" diagonalDown="0">
      <x:right style="none"/>
      <x:bottom style="none"/>
    </x:border>
    <x:border diagonalUp="0" diagonalDown="0">
      <x:left style="none"/>
      <x:top style="none"/>
      <x:bottom style="thin">
        <x:color rgb="FF19312D"/>
      </x:bottom>
    </x:border>
    <x:border diagonalUp="0" diagonalDown="0">
      <x:top style="none"/>
      <x:bottom style="thin">
        <x:color rgb="FF19312D"/>
      </x:bottom>
    </x:border>
    <x:border diagonalUp="0" diagonalDown="0">
      <x:left style="none"/>
      <x:top style="thin">
        <x:color rgb="FFCBD9D2"/>
      </x:top>
    </x:border>
    <x:border diagonalUp="0" diagonalDown="0">
      <x:top style="thin">
        <x:color rgb="FFCBD9D2"/>
      </x:top>
    </x:border>
  </x:borders>
  <x:cellStyleXfs count="2">
    <x:xf numFmtId="0" fontId="0" fillId="0" borderId="0"/>
    <x:xf numFmtId="9" fontId="1" fillId="0" borderId="0" applyBorder="0" applyAlignment="0" applyProtection="0"/>
  </x:cellStyleXfs>
  <x:cellXfs count="179">
    <x:xf numFmtId="0" fontId="0" fillId="0" borderId="0" xfId="0"/>
    <x:xf numFmtId="0" fontId="2" fillId="2" borderId="0" xfId="0" applyFont="1" applyFill="1" applyAlignment="1">
      <x:alignment horizontal="center" vertical="center"/>
    </x:xf>
    <x:xf numFmtId="0" fontId="2" fillId="2" borderId="0" xfId="0" applyFont="1" applyFill="1" applyAlignment="1">
      <x:alignment horizontal="center" vertical="center"/>
    </x:xf>
    <x:xf numFmtId="0" fontId="3" fillId="0" borderId="0" xfId="0" applyFont="1"/>
    <x:xf numFmtId="0" fontId="4" fillId="3" borderId="0" xfId="0" applyFont="1" applyFill="1" applyAlignment="1">
      <x:alignment horizontal="center"/>
    </x:xf>
    <x:xf numFmtId="0" fontId="5" fillId="4" borderId="0" xfId="0" applyFont="1" applyFill="1" applyAlignment="1">
      <x:alignment horizontal="left" vertical="center"/>
    </x:xf>
    <x:xf numFmtId="0" fontId="6" fillId="5" borderId="0" xfId="0" applyFont="1" applyFill="1" applyAlignment="1">
      <x:alignment horizontal="left" vertical="center"/>
    </x:xf>
    <x:xf numFmtId="164" fontId="7" fillId="0" borderId="0" xfId="0" applyNumberFormat="1" applyFont="1" applyAlignment="1">
      <x:alignment horizontal="right"/>
    </x:xf>
    <x:xf numFmtId="0" fontId="4" fillId="0" borderId="0" xfId="0" applyFont="1"/>
    <x:xf numFmtId="164" fontId="8" fillId="0" borderId="1" xfId="0" applyNumberFormat="1" applyFont="1" applyBorder="1" applyAlignment="1">
      <x:alignment horizontal="right"/>
    </x:xf>
    <x:xf numFmtId="164" fontId="9" fillId="6" borderId="2" xfId="0" applyNumberFormat="1" applyFont="1" applyFill="1" applyBorder="1" applyAlignment="1">
      <x:alignment horizontal="right"/>
    </x:xf>
    <x:xf numFmtId="0" fontId="10" fillId="0" borderId="0" xfId="0" applyFont="1"/>
    <x:xf numFmtId="164" fontId="11" fillId="7" borderId="2" xfId="0" applyNumberFormat="1" applyFont="1" applyFill="1" applyBorder="1" applyAlignment="1">
      <x:alignment horizontal="right"/>
    </x:xf>
    <x:xf numFmtId="164" fontId="8" fillId="0" borderId="0" xfId="0" applyNumberFormat="1" applyFont="1" applyAlignment="1">
      <x:alignment horizontal="right"/>
    </x:xf>
    <x:xf numFmtId="164" fontId="9" fillId="0" borderId="2" xfId="0" applyNumberFormat="1" applyFont="1" applyBorder="1" applyAlignment="1">
      <x:alignment horizontal="right"/>
    </x:xf>
    <x:xf numFmtId="164" fontId="11" fillId="8" borderId="2" xfId="0" applyNumberFormat="1" applyFont="1" applyFill="1" applyBorder="1" applyAlignment="1">
      <x:alignment horizontal="right"/>
    </x:xf>
    <x:xf numFmtId="164" fontId="11" fillId="0" borderId="2" xfId="0" applyNumberFormat="1" applyFont="1" applyBorder="1" applyAlignment="1">
      <x:alignment horizontal="right"/>
    </x:xf>
    <x:xf numFmtId="0" fontId="12" fillId="0" borderId="0" xfId="0" applyFont="1"/>
    <x:xf numFmtId="164" fontId="13" fillId="9" borderId="2" xfId="0" applyNumberFormat="1" applyFont="1" applyFill="1" applyBorder="1" applyAlignment="1">
      <x:alignment horizontal="right"/>
    </x:xf>
    <x:xf numFmtId="0" fontId="14" fillId="0" borderId="0" xfId="0" applyFont="1"/>
    <x:xf numFmtId="164" fontId="15" fillId="0" borderId="0" xfId="0" applyNumberFormat="1" applyFont="1" applyAlignment="1">
      <x:alignment horizontal="right"/>
    </x:xf>
    <x:xf numFmtId="164" fontId="9" fillId="7" borderId="2" xfId="0" applyNumberFormat="1" applyFont="1" applyFill="1" applyBorder="1" applyAlignment="1">
      <x:alignment horizontal="right"/>
    </x:xf>
    <x:xf numFmtId="164" fontId="9" fillId="8" borderId="2" xfId="0" applyNumberFormat="1" applyFont="1" applyFill="1" applyBorder="1" applyAlignment="1">
      <x:alignment horizontal="right"/>
    </x:xf>
    <x:xf numFmtId="0" fontId="16" fillId="0" borderId="0" xfId="0" applyFont="1"/>
    <x:xf numFmtId="164" fontId="16" fillId="0" borderId="0" xfId="0" applyNumberFormat="1" applyFont="1" applyAlignment="1">
      <x:alignment horizontal="right"/>
    </x:xf>
    <x:xf numFmtId="0" fontId="8" fillId="0" borderId="0" xfId="0" applyFont="1"/>
    <x:xf numFmtId="10" fontId="1" fillId="0" borderId="0" xfId="1" applyNumberFormat="1" applyAlignment="1">
      <x:alignment horizontal="right"/>
    </x:xf>
    <x:xf numFmtId="0" fontId="2" fillId="10" borderId="0" xfId="0" applyNumberFormat="1" applyFont="1" applyFill="1" applyBorder="1" applyAlignment="1">
      <x:alignment horizontal="center" vertical="center"/>
    </x:xf>
    <x:xf numFmtId="0" fontId="0" fillId="10" borderId="0" xfId="0" applyNumberFormat="1" applyFont="1" applyFill="1" applyBorder="1"/>
    <x:xf numFmtId="0" fontId="3" fillId="10" borderId="0" xfId="0" applyNumberFormat="1" applyFont="1" applyFill="1" applyBorder="1"/>
    <x:xf numFmtId="0" fontId="4" fillId="10" borderId="0" xfId="0" applyNumberFormat="1" applyFont="1" applyFill="1" applyBorder="1" applyAlignment="1">
      <x:alignment horizontal="center"/>
    </x:xf>
    <x:xf numFmtId="0" fontId="5" fillId="10" borderId="0" xfId="0" applyNumberFormat="1" applyFont="1" applyFill="1" applyBorder="1" applyAlignment="1">
      <x:alignment horizontal="left" vertical="center"/>
    </x:xf>
    <x:xf numFmtId="0" fontId="6" fillId="10" borderId="0" xfId="0" applyNumberFormat="1" applyFont="1" applyFill="1" applyBorder="1" applyAlignment="1">
      <x:alignment horizontal="left" vertical="center"/>
    </x:xf>
    <x:xf numFmtId="164" fontId="7" fillId="10" borderId="0" xfId="0" applyNumberFormat="1" applyFont="1" applyFill="1" applyBorder="1" applyAlignment="1">
      <x:alignment horizontal="right"/>
    </x:xf>
    <x:xf numFmtId="0" fontId="4" fillId="10" borderId="0" xfId="0" applyNumberFormat="1" applyFont="1" applyFill="1" applyBorder="1"/>
    <x:xf numFmtId="164" fontId="8" fillId="10" borderId="1" xfId="0" applyNumberFormat="1" applyFont="1" applyFill="1" applyBorder="1" applyAlignment="1">
      <x:alignment horizontal="right"/>
    </x:xf>
    <x:xf numFmtId="164" fontId="9" fillId="10" borderId="2" xfId="0" applyNumberFormat="1" applyFont="1" applyFill="1" applyBorder="1" applyAlignment="1">
      <x:alignment horizontal="right"/>
    </x:xf>
    <x:xf numFmtId="0" fontId="10" fillId="10" borderId="0" xfId="0" applyNumberFormat="1" applyFont="1" applyFill="1" applyBorder="1"/>
    <x:xf numFmtId="164" fontId="11" fillId="10" borderId="2" xfId="0" applyNumberFormat="1" applyFont="1" applyFill="1" applyBorder="1" applyAlignment="1">
      <x:alignment horizontal="right"/>
    </x:xf>
    <x:xf numFmtId="164" fontId="8" fillId="10" borderId="0" xfId="0" applyNumberFormat="1" applyFont="1" applyFill="1" applyBorder="1" applyAlignment="1">
      <x:alignment horizontal="right"/>
    </x:xf>
    <x:xf numFmtId="10" fontId="1" fillId="10" borderId="0" xfId="0" applyNumberFormat="1" applyFont="1" applyFill="1" applyBorder="1" applyAlignment="1">
      <x:alignment horizontal="right"/>
    </x:xf>
    <x:xf numFmtId="0" fontId="12" fillId="10" borderId="0" xfId="0" applyNumberFormat="1" applyFont="1" applyFill="1" applyBorder="1"/>
    <x:xf numFmtId="164" fontId="13" fillId="10" borderId="2" xfId="0" applyNumberFormat="1" applyFont="1" applyFill="1" applyBorder="1" applyAlignment="1">
      <x:alignment horizontal="right"/>
    </x:xf>
    <x:xf numFmtId="0" fontId="17" fillId="10" borderId="0" xfId="0" applyNumberFormat="1" applyFont="1" applyFill="1" applyBorder="1" applyAlignment="1">
      <x:alignment horizontal="center" vertical="center"/>
    </x:xf>
    <x:xf numFmtId="0" fontId="17" fillId="10" borderId="0" xfId="0" applyNumberFormat="1" applyFont="1" applyFill="1" applyBorder="1"/>
    <x:xf numFmtId="0" fontId="17" fillId="10" borderId="0" xfId="0" applyNumberFormat="1" applyFont="1" applyFill="1" applyBorder="1" applyAlignment="1">
      <x:alignment horizontal="center"/>
    </x:xf>
    <x:xf numFmtId="0" fontId="17" fillId="10" borderId="0" xfId="0" applyNumberFormat="1" applyFont="1" applyFill="1" applyBorder="1" applyAlignment="1">
      <x:alignment horizontal="left" vertical="center"/>
    </x:xf>
    <x:xf numFmtId="164" fontId="17" fillId="10" borderId="0" xfId="0" applyNumberFormat="1" applyFont="1" applyFill="1" applyBorder="1" applyAlignment="1">
      <x:alignment horizontal="right"/>
    </x:xf>
    <x:xf numFmtId="164" fontId="17" fillId="10" borderId="1" xfId="0" applyNumberFormat="1" applyFont="1" applyFill="1" applyBorder="1" applyAlignment="1">
      <x:alignment horizontal="right"/>
    </x:xf>
    <x:xf numFmtId="164" fontId="17" fillId="10" borderId="2" xfId="0" applyNumberFormat="1" applyFont="1" applyFill="1" applyBorder="1" applyAlignment="1">
      <x:alignment horizontal="right"/>
    </x:xf>
    <x:xf numFmtId="10" fontId="17" fillId="10" borderId="0" xfId="0" applyNumberFormat="1" applyFont="1" applyFill="1" applyBorder="1" applyAlignment="1">
      <x:alignment horizontal="right"/>
    </x:xf>
    <x:xf numFmtId="0" fontId="17" fillId="10" borderId="3" xfId="0" applyNumberFormat="1" applyFont="1" applyFill="1" applyBorder="1" applyAlignment="1">
      <x:alignment horizontal="center" vertical="center"/>
    </x:xf>
    <x:xf numFmtId="0" fontId="17" fillId="10" borderId="4" xfId="0" applyNumberFormat="1" applyFont="1" applyFill="1" applyBorder="1" applyAlignment="1">
      <x:alignment horizontal="center" vertical="center"/>
    </x:xf>
    <x:xf numFmtId="0" fontId="17" fillId="10" borderId="4" xfId="0" applyNumberFormat="1" applyFont="1" applyFill="1" applyBorder="1"/>
    <x:xf numFmtId="0" fontId="17" fillId="10" borderId="5" xfId="0" applyNumberFormat="1" applyFont="1" applyFill="1" applyBorder="1"/>
    <x:xf numFmtId="0" fontId="17" fillId="10" borderId="6" xfId="0" applyNumberFormat="1" applyFont="1" applyFill="1" applyBorder="1"/>
    <x:xf numFmtId="0" fontId="17" fillId="10" borderId="7" xfId="0" applyNumberFormat="1" applyFont="1" applyFill="1" applyBorder="1"/>
    <x:xf numFmtId="0" fontId="17" fillId="10" borderId="8" xfId="0" applyNumberFormat="1" applyFont="1" applyFill="1" applyBorder="1"/>
    <x:xf numFmtId="0" fontId="17" fillId="10" borderId="7" xfId="0" applyNumberFormat="1" applyFont="1" applyFill="1" applyBorder="1" applyAlignment="1">
      <x:alignment horizontal="center"/>
    </x:xf>
    <x:xf numFmtId="0" fontId="17" fillId="10" borderId="6" xfId="0" applyNumberFormat="1" applyFont="1" applyFill="1" applyBorder="1" applyAlignment="1">
      <x:alignment horizontal="left" vertical="center"/>
    </x:xf>
    <x:xf numFmtId="0" fontId="17" fillId="10" borderId="7" xfId="0" applyNumberFormat="1" applyFont="1" applyFill="1" applyBorder="1" applyAlignment="1">
      <x:alignment horizontal="left" vertical="center"/>
    </x:xf>
    <x:xf numFmtId="164" fontId="17" fillId="10" borderId="7" xfId="0" applyNumberFormat="1" applyFont="1" applyFill="1" applyBorder="1" applyAlignment="1">
      <x:alignment horizontal="right"/>
    </x:xf>
    <x:xf numFmtId="164" fontId="17" fillId="10" borderId="9" xfId="0" applyNumberFormat="1" applyFont="1" applyFill="1" applyBorder="1" applyAlignment="1">
      <x:alignment horizontal="right"/>
    </x:xf>
    <x:xf numFmtId="164" fontId="17" fillId="10" borderId="10" xfId="0" applyNumberFormat="1" applyFont="1" applyFill="1" applyBorder="1" applyAlignment="1">
      <x:alignment horizontal="right"/>
    </x:xf>
    <x:xf numFmtId="10" fontId="17" fillId="10" borderId="7" xfId="0" applyNumberFormat="1" applyFont="1" applyFill="1" applyBorder="1" applyAlignment="1">
      <x:alignment horizontal="right"/>
    </x:xf>
    <x:xf numFmtId="0" fontId="17" fillId="10" borderId="11" xfId="0" applyNumberFormat="1" applyFont="1" applyFill="1" applyBorder="1"/>
    <x:xf numFmtId="0" fontId="17" fillId="10" borderId="12" xfId="0" applyNumberFormat="1" applyFont="1" applyFill="1" applyBorder="1"/>
    <x:xf numFmtId="0" fontId="17" fillId="10" borderId="13" xfId="0" applyNumberFormat="1" applyFont="1" applyFill="1" applyBorder="1"/>
    <x:xf numFmtId="200" fontId="17" fillId="10" borderId="3" xfId="0" applyNumberFormat="1" applyFont="1" applyFill="1" applyBorder="1" applyAlignment="1">
      <x:alignment horizontal="center" vertical="center"/>
    </x:xf>
    <x:xf numFmtId="200" fontId="17" fillId="10" borderId="4" xfId="0" applyNumberFormat="1" applyFont="1" applyFill="1" applyBorder="1" applyAlignment="1">
      <x:alignment horizontal="center" vertical="center"/>
    </x:xf>
    <x:xf numFmtId="200" fontId="17" fillId="10" borderId="4" xfId="0" applyNumberFormat="1" applyFont="1" applyFill="1" applyBorder="1"/>
    <x:xf numFmtId="200" fontId="17" fillId="10" borderId="5" xfId="0" applyNumberFormat="1" applyFont="1" applyFill="1" applyBorder="1"/>
    <x:xf numFmtId="200" fontId="17" fillId="10" borderId="6" xfId="0" applyNumberFormat="1" applyFont="1" applyFill="1" applyBorder="1"/>
    <x:xf numFmtId="200" fontId="17" fillId="10" borderId="7" xfId="0" applyNumberFormat="1" applyFont="1" applyFill="1" applyBorder="1"/>
    <x:xf numFmtId="200" fontId="17" fillId="10" borderId="8" xfId="0" applyNumberFormat="1" applyFont="1" applyFill="1" applyBorder="1"/>
    <x:xf numFmtId="200" fontId="17" fillId="10" borderId="7" xfId="0" applyNumberFormat="1" applyFont="1" applyFill="1" applyBorder="1" applyAlignment="1">
      <x:alignment horizontal="center"/>
    </x:xf>
    <x:xf numFmtId="200" fontId="17" fillId="10" borderId="6" xfId="0" applyNumberFormat="1" applyFont="1" applyFill="1" applyBorder="1" applyAlignment="1">
      <x:alignment horizontal="left" vertical="center"/>
    </x:xf>
    <x:xf numFmtId="200" fontId="17" fillId="10" borderId="7" xfId="0" applyNumberFormat="1" applyFont="1" applyFill="1" applyBorder="1" applyAlignment="1">
      <x:alignment horizontal="left" vertical="center"/>
    </x:xf>
    <x:xf numFmtId="200" fontId="17" fillId="10" borderId="7" xfId="0" applyNumberFormat="1" applyFont="1" applyFill="1" applyBorder="1" applyAlignment="1">
      <x:alignment horizontal="right"/>
    </x:xf>
    <x:xf numFmtId="200" fontId="17" fillId="10" borderId="9" xfId="0" applyNumberFormat="1" applyFont="1" applyFill="1" applyBorder="1" applyAlignment="1">
      <x:alignment horizontal="right"/>
    </x:xf>
    <x:xf numFmtId="200" fontId="17" fillId="10" borderId="10" xfId="0" applyNumberFormat="1" applyFont="1" applyFill="1" applyBorder="1" applyAlignment="1">
      <x:alignment horizontal="right"/>
    </x:xf>
    <x:xf numFmtId="200" fontId="17" fillId="10" borderId="11" xfId="0" applyNumberFormat="1" applyFont="1" applyFill="1" applyBorder="1"/>
    <x:xf numFmtId="200" fontId="17" fillId="10" borderId="12" xfId="0" applyNumberFormat="1" applyFont="1" applyFill="1" applyBorder="1"/>
    <x:xf numFmtId="200" fontId="17" fillId="10" borderId="13" xfId="0" applyNumberFormat="1" applyFont="1" applyFill="1" applyBorder="1"/>
    <x:xf numFmtId="200" fontId="17" fillId="10" borderId="3" xfId="0" applyNumberFormat="1" applyFont="1" applyFill="1" applyBorder="1" applyAlignment="1">
      <x:alignment horizontal="center" vertical="center" wrapText="0"/>
    </x:xf>
    <x:xf numFmtId="200" fontId="17" fillId="10" borderId="4" xfId="0" applyNumberFormat="1" applyFont="1" applyFill="1" applyBorder="1" applyAlignment="1">
      <x:alignment horizontal="center" vertical="center" wrapText="0"/>
    </x:xf>
    <x:xf numFmtId="200" fontId="17" fillId="10" borderId="4" xfId="0" applyNumberFormat="1" applyFont="1" applyFill="1" applyBorder="1" applyAlignment="1">
      <x:alignment wrapText="0"/>
    </x:xf>
    <x:xf numFmtId="200" fontId="17" fillId="10" borderId="5" xfId="0" applyNumberFormat="1" applyFont="1" applyFill="1" applyBorder="1" applyAlignment="1">
      <x:alignment wrapText="0"/>
    </x:xf>
    <x:xf numFmtId="200" fontId="17" fillId="10" borderId="6" xfId="0" applyNumberFormat="1" applyFont="1" applyFill="1" applyBorder="1" applyAlignment="1">
      <x:alignment wrapText="0"/>
    </x:xf>
    <x:xf numFmtId="200" fontId="17" fillId="10" borderId="7" xfId="0" applyNumberFormat="1" applyFont="1" applyFill="1" applyBorder="1" applyAlignment="1">
      <x:alignment wrapText="0"/>
    </x:xf>
    <x:xf numFmtId="200" fontId="17" fillId="10" borderId="8" xfId="0" applyNumberFormat="1" applyFont="1" applyFill="1" applyBorder="1" applyAlignment="1">
      <x:alignment wrapText="0"/>
    </x:xf>
    <x:xf numFmtId="200" fontId="17" fillId="10" borderId="7" xfId="0" applyNumberFormat="1" applyFont="1" applyFill="1" applyBorder="1" applyAlignment="1">
      <x:alignment horizontal="center" wrapText="0"/>
    </x:xf>
    <x:xf numFmtId="200" fontId="17" fillId="10" borderId="6" xfId="0" applyNumberFormat="1" applyFont="1" applyFill="1" applyBorder="1" applyAlignment="1">
      <x:alignment horizontal="left" vertical="center" wrapText="0"/>
    </x:xf>
    <x:xf numFmtId="200" fontId="17" fillId="10" borderId="7" xfId="0" applyNumberFormat="1" applyFont="1" applyFill="1" applyBorder="1" applyAlignment="1">
      <x:alignment horizontal="left" vertical="center" wrapText="0"/>
    </x:xf>
    <x:xf numFmtId="200" fontId="17" fillId="10" borderId="7" xfId="0" applyNumberFormat="1" applyFont="1" applyFill="1" applyBorder="1" applyAlignment="1">
      <x:alignment horizontal="right" wrapText="0"/>
    </x:xf>
    <x:xf numFmtId="200" fontId="17" fillId="10" borderId="9" xfId="0" applyNumberFormat="1" applyFont="1" applyFill="1" applyBorder="1" applyAlignment="1">
      <x:alignment horizontal="right" wrapText="0"/>
    </x:xf>
    <x:xf numFmtId="200" fontId="17" fillId="10" borderId="10" xfId="0" applyNumberFormat="1" applyFont="1" applyFill="1" applyBorder="1" applyAlignment="1">
      <x:alignment horizontal="right" wrapText="0"/>
    </x:xf>
    <x:xf numFmtId="200" fontId="17" fillId="10" borderId="11" xfId="0" applyNumberFormat="1" applyFont="1" applyFill="1" applyBorder="1" applyAlignment="1">
      <x:alignment wrapText="0"/>
    </x:xf>
    <x:xf numFmtId="200" fontId="17" fillId="10" borderId="12" xfId="0" applyNumberFormat="1" applyFont="1" applyFill="1" applyBorder="1" applyAlignment="1">
      <x:alignment wrapText="0"/>
    </x:xf>
    <x:xf numFmtId="200" fontId="17" fillId="10" borderId="13" xfId="0" applyNumberFormat="1" applyFont="1" applyFill="1" applyBorder="1" applyAlignment="1">
      <x:alignment wrapText="0"/>
    </x:xf>
    <x:xf numFmtId="200" fontId="17" fillId="10" borderId="4" xfId="0" applyNumberFormat="1" applyFont="1" applyFill="1" applyBorder="1" applyAlignment="1">
      <x:alignment vertical="center" wrapText="0"/>
    </x:xf>
    <x:xf numFmtId="200" fontId="17" fillId="10" borderId="5" xfId="0" applyNumberFormat="1" applyFont="1" applyFill="1" applyBorder="1" applyAlignment="1">
      <x:alignment vertical="center" wrapText="0"/>
    </x:xf>
    <x:xf numFmtId="200" fontId="17" fillId="10" borderId="6" xfId="0" applyNumberFormat="1" applyFont="1" applyFill="1" applyBorder="1" applyAlignment="1">
      <x:alignment vertical="center" wrapText="0"/>
    </x:xf>
    <x:xf numFmtId="200" fontId="17" fillId="10" borderId="7" xfId="0" applyNumberFormat="1" applyFont="1" applyFill="1" applyBorder="1" applyAlignment="1">
      <x:alignment vertical="center" wrapText="0"/>
    </x:xf>
    <x:xf numFmtId="200" fontId="17" fillId="10" borderId="8" xfId="0" applyNumberFormat="1" applyFont="1" applyFill="1" applyBorder="1" applyAlignment="1">
      <x:alignment vertical="center" wrapText="0"/>
    </x:xf>
    <x:xf numFmtId="200" fontId="17" fillId="10" borderId="7" xfId="0" applyNumberFormat="1" applyFont="1" applyFill="1" applyBorder="1" applyAlignment="1">
      <x:alignment horizontal="center" vertical="center" wrapText="0"/>
    </x:xf>
    <x:xf numFmtId="200" fontId="17" fillId="10" borderId="7" xfId="0" applyNumberFormat="1" applyFont="1" applyFill="1" applyBorder="1" applyAlignment="1">
      <x:alignment horizontal="right" vertical="center" wrapText="0"/>
    </x:xf>
    <x:xf numFmtId="200" fontId="17" fillId="10" borderId="9" xfId="0" applyNumberFormat="1" applyFont="1" applyFill="1" applyBorder="1" applyAlignment="1">
      <x:alignment horizontal="right" vertical="center" wrapText="0"/>
    </x:xf>
    <x:xf numFmtId="200" fontId="17" fillId="10" borderId="10" xfId="0" applyNumberFormat="1" applyFont="1" applyFill="1" applyBorder="1" applyAlignment="1">
      <x:alignment horizontal="right" vertical="center" wrapText="0"/>
    </x:xf>
    <x:xf numFmtId="200" fontId="17" fillId="10" borderId="11" xfId="0" applyNumberFormat="1" applyFont="1" applyFill="1" applyBorder="1" applyAlignment="1">
      <x:alignment vertical="center" wrapText="0"/>
    </x:xf>
    <x:xf numFmtId="200" fontId="17" fillId="10" borderId="12" xfId="0" applyNumberFormat="1" applyFont="1" applyFill="1" applyBorder="1" applyAlignment="1">
      <x:alignment vertical="center" wrapText="0"/>
    </x:xf>
    <x:xf numFmtId="200" fontId="17" fillId="10" borderId="13" xfId="0" applyNumberFormat="1" applyFont="1" applyFill="1" applyBorder="1" applyAlignment="1">
      <x:alignment vertical="center" wrapText="0"/>
    </x:xf>
    <x:xf numFmtId="200" fontId="18" fillId="10" borderId="3" xfId="0" applyNumberFormat="1" applyFont="1" applyFill="1" applyBorder="1" applyAlignment="1">
      <x:alignment horizontal="center" vertical="center" wrapText="0"/>
    </x:xf>
    <x:xf numFmtId="200" fontId="18" fillId="10" borderId="4" xfId="0" applyNumberFormat="1" applyFont="1" applyFill="1" applyBorder="1" applyAlignment="1">
      <x:alignment horizontal="center" vertical="center" wrapText="0"/>
    </x:xf>
    <x:xf numFmtId="200" fontId="18" fillId="10" borderId="4" xfId="0" applyNumberFormat="1" applyFont="1" applyFill="1" applyBorder="1" applyAlignment="1">
      <x:alignment vertical="center" wrapText="0"/>
    </x:xf>
    <x:xf numFmtId="200" fontId="18" fillId="10" borderId="5" xfId="0" applyNumberFormat="1" applyFont="1" applyFill="1" applyBorder="1" applyAlignment="1">
      <x:alignment vertical="center" wrapText="0"/>
    </x:xf>
    <x:xf numFmtId="200" fontId="18" fillId="10" borderId="14" xfId="0" applyNumberFormat="1" applyFont="1" applyFill="1" applyBorder="1" applyAlignment="1">
      <x:alignment horizontal="center" vertical="center" wrapText="0"/>
    </x:xf>
    <x:xf numFmtId="200" fontId="18" fillId="10" borderId="15" xfId="0" applyNumberFormat="1" applyFont="1" applyFill="1" applyBorder="1" applyAlignment="1">
      <x:alignment horizontal="center" vertical="center" wrapText="0"/>
    </x:xf>
    <x:xf numFmtId="200" fontId="18" fillId="10" borderId="15" xfId="0" applyNumberFormat="1" applyFont="1" applyFill="1" applyBorder="1" applyAlignment="1">
      <x:alignment vertical="center" wrapText="0"/>
    </x:xf>
    <x:xf numFmtId="200" fontId="18" fillId="10" borderId="14" xfId="0" applyNumberFormat="1" applyFont="1" applyFill="1" applyBorder="1" applyAlignment="1">
      <x:alignment horizontal="left" vertical="center" wrapText="0"/>
    </x:xf>
    <x:xf numFmtId="200" fontId="18" fillId="10" borderId="15" xfId="0" applyNumberFormat="1" applyFont="1" applyFill="1" applyBorder="1" applyAlignment="1">
      <x:alignment horizontal="left" vertical="center" wrapText="0"/>
    </x:xf>
    <x:xf numFmtId="200" fontId="19" fillId="10" borderId="6" xfId="0" applyNumberFormat="1" applyFont="1" applyFill="1" applyBorder="1" applyAlignment="1">
      <x:alignment vertical="center" wrapText="0"/>
    </x:xf>
    <x:xf numFmtId="200" fontId="19" fillId="10" borderId="7" xfId="0" applyNumberFormat="1" applyFont="1" applyFill="1" applyBorder="1" applyAlignment="1">
      <x:alignment vertical="center" wrapText="0"/>
    </x:xf>
    <x:xf numFmtId="200" fontId="19" fillId="10" borderId="8" xfId="0" applyNumberFormat="1" applyFont="1" applyFill="1" applyBorder="1" applyAlignment="1">
      <x:alignment vertical="center" wrapText="0"/>
    </x:xf>
    <x:xf numFmtId="200" fontId="19" fillId="10" borderId="6" xfId="0" applyNumberFormat="1" applyFont="1" applyFill="1" applyBorder="1" applyAlignment="1">
      <x:alignment horizontal="left" vertical="center" wrapText="0"/>
    </x:xf>
    <x:xf numFmtId="200" fontId="19" fillId="10" borderId="7" xfId="0" applyNumberFormat="1" applyFont="1" applyFill="1" applyBorder="1" applyAlignment="1">
      <x:alignment horizontal="left" vertical="center" wrapText="0"/>
    </x:xf>
    <x:xf numFmtId="200" fontId="19" fillId="10" borderId="8" xfId="0" applyNumberFormat="1" applyFont="1" applyFill="1" applyBorder="1" applyAlignment="1">
      <x:alignment horizontal="left" vertical="center" wrapText="0"/>
    </x:xf>
    <x:xf numFmtId="200" fontId="17" fillId="11" borderId="7" xfId="0" applyNumberFormat="1" applyFont="1" applyFill="1" applyBorder="1" applyAlignment="1">
      <x:alignment horizontal="center" vertical="center" wrapText="0"/>
    </x:xf>
    <x:xf numFmtId="200" fontId="20" fillId="11" borderId="7" xfId="0" applyNumberFormat="1" applyFont="1" applyFill="1" applyBorder="1" applyAlignment="1">
      <x:alignment horizontal="center" vertical="center" wrapText="0"/>
    </x:xf>
    <x:xf numFmtId="201" fontId="20" fillId="11" borderId="7" xfId="0" applyNumberFormat="1" applyFont="1" applyFill="1" applyBorder="1" applyAlignment="1">
      <x:alignment horizontal="center" vertical="center" wrapText="0"/>
    </x:xf>
    <x:xf numFmtId="200" fontId="19" fillId="10" borderId="7" xfId="0" applyNumberFormat="1" applyFont="1" applyFill="1" applyBorder="1" applyAlignment="1">
      <x:alignment horizontal="center" vertical="center" wrapText="0"/>
    </x:xf>
    <x:xf numFmtId="0" fontId="14" fillId="10" borderId="0" xfId="0" applyNumberFormat="1" applyFont="1" applyFill="1" applyBorder="1"/>
    <x:xf numFmtId="164" fontId="15" fillId="10" borderId="0" xfId="0" applyNumberFormat="1" applyFont="1" applyFill="1" applyBorder="1" applyAlignment="1">
      <x:alignment horizontal="right"/>
    </x:xf>
    <x:xf numFmtId="0" fontId="16" fillId="10" borderId="0" xfId="0" applyNumberFormat="1" applyFont="1" applyFill="1" applyBorder="1"/>
    <x:xf numFmtId="164" fontId="16" fillId="10" borderId="0" xfId="0" applyNumberFormat="1" applyFont="1" applyFill="1" applyBorder="1" applyAlignment="1">
      <x:alignment horizontal="right"/>
    </x:xf>
    <x:xf numFmtId="0" fontId="17" fillId="10" borderId="6" xfId="0" applyNumberFormat="1" applyFont="1" applyFill="1" applyBorder="1" applyAlignment="1">
      <x:alignment horizontal="center" vertical="center"/>
    </x:xf>
    <x:xf numFmtId="0" fontId="17" fillId="10" borderId="7" xfId="0" applyNumberFormat="1" applyFont="1" applyFill="1" applyBorder="1" applyAlignment="1">
      <x:alignment horizontal="center" vertical="center"/>
    </x:xf>
    <x:xf numFmtId="200" fontId="17" fillId="10" borderId="6" xfId="0" applyNumberFormat="1" applyFont="1" applyFill="1" applyBorder="1" applyAlignment="1">
      <x:alignment horizontal="center" vertical="center"/>
    </x:xf>
    <x:xf numFmtId="200" fontId="17" fillId="10" borderId="7" xfId="0" applyNumberFormat="1" applyFont="1" applyFill="1" applyBorder="1" applyAlignment="1">
      <x:alignment horizontal="center" vertical="center"/>
    </x:xf>
    <x:xf numFmtId="200" fontId="17" fillId="10" borderId="6" xfId="0" applyNumberFormat="1" applyFont="1" applyFill="1" applyBorder="1" applyAlignment="1">
      <x:alignment horizontal="center" vertical="center" wrapText="0"/>
    </x:xf>
    <x:xf numFmtId="0" fontId="8" fillId="10" borderId="0" xfId="0" applyNumberFormat="1" applyFont="1" applyFill="1" applyBorder="1"/>
    <x:xf numFmtId="200" fontId="17" fillId="11" borderId="7" xfId="0" applyNumberFormat="1" applyFont="1" applyFill="1" applyBorder="1" applyAlignment="1">
      <x:alignment vertical="center" wrapText="0"/>
    </x:xf>
    <x:xf numFmtId="200" fontId="20" fillId="11" borderId="7" xfId="0" applyNumberFormat="1" applyFont="1" applyFill="1" applyBorder="1" applyAlignment="1">
      <x:alignment vertical="center" wrapText="0"/>
    </x:xf>
    <x:xf numFmtId="200" fontId="21" fillId="10" borderId="7" xfId="0" applyNumberFormat="1" applyFont="1" applyFill="1" applyBorder="1" applyAlignment="1">
      <x:alignment vertical="center" wrapText="0"/>
    </x:xf>
    <x:xf numFmtId="200" fontId="21" fillId="10" borderId="7" xfId="0" applyNumberFormat="1" applyFont="1" applyFill="1" applyBorder="1" applyAlignment="1">
      <x:alignment vertical="center" wrapText="1"/>
    </x:xf>
    <x:xf numFmtId="200" fontId="17" fillId="10" borderId="7" xfId="0" applyNumberFormat="1" applyFont="1" applyFill="1" applyBorder="1" applyAlignment="1">
      <x:alignment vertical="center" wrapText="1"/>
    </x:xf>
    <x:xf numFmtId="200" fontId="22" fillId="10" borderId="7" xfId="0" applyNumberFormat="1" applyFont="1" applyFill="1" applyBorder="1" applyAlignment="1">
      <x:alignment vertical="center" wrapText="0"/>
    </x:xf>
    <x:xf numFmtId="200" fontId="22" fillId="10" borderId="7" xfId="0" applyNumberFormat="1" applyFont="1" applyFill="1" applyBorder="1" applyAlignment="1">
      <x:alignment vertical="center" wrapText="1"/>
    </x:xf>
    <x:xf numFmtId="200" fontId="17" fillId="11" borderId="6" xfId="0" applyNumberFormat="1" applyFont="1" applyFill="1" applyBorder="1" applyAlignment="1">
      <x:alignment horizontal="left" vertical="center" wrapText="0"/>
    </x:xf>
    <x:xf numFmtId="200" fontId="17" fillId="11" borderId="7" xfId="0" applyNumberFormat="1" applyFont="1" applyFill="1" applyBorder="1" applyAlignment="1">
      <x:alignment horizontal="left" vertical="center" wrapText="0"/>
    </x:xf>
    <x:xf numFmtId="200" fontId="20" fillId="11" borderId="6" xfId="0" applyNumberFormat="1" applyFont="1" applyFill="1" applyBorder="1" applyAlignment="1">
      <x:alignment horizontal="left" vertical="center" wrapText="0"/>
    </x:xf>
    <x:xf numFmtId="200" fontId="20" fillId="11" borderId="7" xfId="0" applyNumberFormat="1" applyFont="1" applyFill="1" applyBorder="1" applyAlignment="1">
      <x:alignment horizontal="left" vertical="center" wrapText="0"/>
    </x:xf>
    <x:xf numFmtId="200" fontId="17" fillId="11" borderId="6" xfId="0" applyNumberFormat="1" applyFont="1" applyFill="1" applyBorder="1" applyAlignment="1">
      <x:alignment horizontal="center" vertical="center" wrapText="0"/>
    </x:xf>
    <x:xf numFmtId="200" fontId="20" fillId="11" borderId="6" xfId="0" applyNumberFormat="1" applyFont="1" applyFill="1" applyBorder="1" applyAlignment="1">
      <x:alignment horizontal="center" vertical="center" wrapText="0"/>
    </x:xf>
    <x:xf numFmtId="200" fontId="17" fillId="12" borderId="6" xfId="0" applyNumberFormat="1" applyFont="1" applyFill="1" applyBorder="1" applyAlignment="1">
      <x:alignment vertical="center" wrapText="0"/>
    </x:xf>
    <x:xf numFmtId="200" fontId="17" fillId="12" borderId="9" xfId="0" applyNumberFormat="1" applyFont="1" applyFill="1" applyBorder="1" applyAlignment="1">
      <x:alignment horizontal="right" vertical="center" wrapText="0"/>
    </x:xf>
    <x:xf numFmtId="200" fontId="23" fillId="12" borderId="6" xfId="0" applyNumberFormat="1" applyFont="1" applyFill="1" applyBorder="1" applyAlignment="1">
      <x:alignment vertical="center" wrapText="0"/>
    </x:xf>
    <x:xf numFmtId="200" fontId="23" fillId="12" borderId="9" xfId="0" applyNumberFormat="1" applyFont="1" applyFill="1" applyBorder="1" applyAlignment="1">
      <x:alignment horizontal="right" vertical="center" wrapText="0"/>
    </x:xf>
    <x:xf numFmtId="200" fontId="23" fillId="12" borderId="16" xfId="0" applyNumberFormat="1" applyFont="1" applyFill="1" applyBorder="1" applyAlignment="1">
      <x:alignment vertical="center" wrapText="0"/>
    </x:xf>
    <x:xf numFmtId="200" fontId="23" fillId="12" borderId="17" xfId="0" applyNumberFormat="1" applyFont="1" applyFill="1" applyBorder="1" applyAlignment="1">
      <x:alignment horizontal="right" vertical="center" wrapText="0"/>
    </x:xf>
    <x:xf numFmtId="200" fontId="17" fillId="12" borderId="10" xfId="0" applyNumberFormat="1" applyFont="1" applyFill="1" applyBorder="1" applyAlignment="1">
      <x:alignment horizontal="right" vertical="center" wrapText="0"/>
    </x:xf>
    <x:xf numFmtId="200" fontId="23" fillId="12" borderId="10" xfId="0" applyNumberFormat="1" applyFont="1" applyFill="1" applyBorder="1" applyAlignment="1">
      <x:alignment horizontal="right" vertical="center" wrapText="0"/>
    </x:xf>
    <x:xf numFmtId="200" fontId="17" fillId="13" borderId="7" xfId="0" applyNumberFormat="1" applyFont="1" applyFill="1" applyBorder="1" applyAlignment="1">
      <x:alignment vertical="center" wrapText="0"/>
    </x:xf>
    <x:xf numFmtId="200" fontId="24" fillId="13" borderId="7" xfId="0" applyNumberFormat="1" applyFont="1" applyFill="1" applyBorder="1" applyAlignment="1">
      <x:alignment vertical="center" wrapText="0"/>
    </x:xf>
    <x:xf numFmtId="200" fontId="17" fillId="13" borderId="7" xfId="0" applyNumberFormat="1" applyFont="1" applyFill="1" applyBorder="1" applyAlignment="1">
      <x:alignment horizontal="right" vertical="center" wrapText="0"/>
    </x:xf>
    <x:xf numFmtId="200" fontId="24" fillId="13" borderId="7" xfId="0" applyNumberFormat="1" applyFont="1" applyFill="1" applyBorder="1" applyAlignment="1">
      <x:alignment horizontal="right" vertical="center" wrapText="0"/>
    </x:xf>
    <x:xf numFmtId="200" fontId="25" fillId="10" borderId="7" xfId="0" applyNumberFormat="1" applyFont="1" applyFill="1" applyBorder="1" applyAlignment="1">
      <x:alignment vertical="center" wrapText="0"/>
    </x:xf>
    <x:xf numFmtId="200" fontId="25" fillId="10" borderId="7" xfId="0" applyNumberFormat="1" applyFont="1" applyFill="1" applyBorder="1" applyAlignment="1">
      <x:alignment horizontal="right" vertical="center" wrapText="0"/>
    </x:xf>
    <x:xf numFmtId="200" fontId="25" fillId="10" borderId="7" xfId="0" applyNumberFormat="1" applyFont="1" applyFill="1" applyBorder="1" applyAlignment="1">
      <x:alignment horizontal="left" vertical="center" wrapText="0"/>
    </x:xf>
    <x:xf numFmtId="200" fontId="26" fillId="12" borderId="17" xfId="0" applyNumberFormat="1" applyFont="1" applyFill="1" applyBorder="1" applyAlignment="1">
      <x:alignment horizontal="right" vertical="center" wrapText="0"/>
    </x:xf>
    <x:xf numFmtId="202" fontId="24" fillId="13" borderId="7" xfId="0" applyNumberFormat="1" applyFont="1" applyFill="1" applyBorder="1" applyAlignment="1">
      <x:alignment vertical="center" wrapText="0"/>
    </x:xf>
    <x:xf numFmtId="202" fontId="17" fillId="10" borderId="7" xfId="0" applyNumberFormat="1" applyFont="1" applyFill="1" applyBorder="1" applyAlignment="1">
      <x:alignment vertical="center" wrapText="0"/>
    </x:xf>
    <x:xf numFmtId="200" fontId="27" fillId="10" borderId="6" xfId="0" applyNumberFormat="1" applyFont="1" applyFill="1" applyBorder="1" applyAlignment="1">
      <x:alignment vertical="center" wrapText="0"/>
    </x:xf>
    <x:xf numFmtId="200" fontId="27" fillId="10" borderId="7" xfId="0" applyNumberFormat="1" applyFont="1" applyFill="1" applyBorder="1" applyAlignment="1">
      <x:alignment horizontal="right" vertical="center" wrapText="0"/>
    </x:xf>
    <x:xf numFmtId="203" fontId="27" fillId="10" borderId="7" xfId="0" applyNumberFormat="1" applyFont="1" applyFill="1" applyBorder="1" applyAlignment="1">
      <x:alignment horizontal="right" vertical="center" wrapText="0"/>
    </x:xf>
    <x:xf numFmtId="204" fontId="23" fillId="12" borderId="17" xfId="0" applyNumberFormat="1" applyFont="1" applyFill="1" applyBorder="1" applyAlignment="1">
      <x:alignment horizontal="right" vertical="center" wrapText="0"/>
    </x:xf>
    <x:xf numFmtId="204" fontId="26" fillId="12" borderId="17" xfId="0" applyNumberFormat="1" applyFont="1" applyFill="1" applyBorder="1" applyAlignment="1">
      <x:alignment horizontal="right" vertical="center" wrapText="0"/>
    </x:xf>
    <x:xf numFmtId="200" fontId="23" fillId="10" borderId="7" xfId="0" applyNumberFormat="1" applyFont="1" applyFill="1" applyBorder="1" applyAlignment="1">
      <x:alignment horizontal="right" vertical="center" wrapText="0"/>
    </x:xf>
    <x:xf numFmtId="205" fontId="23" fillId="10" borderId="7" xfId="0" applyNumberFormat="1" applyFont="1" applyFill="1" applyBorder="1" applyAlignment="1">
      <x:alignment horizontal="right" vertical="center" wrapText="0"/>
    </x:xf>
  </x:cellXfs>
  <x:cellStyles count="2">
    <x:cellStyle name="Normal" xfId="0"/>
    <x:cellStyle name="Percent" xfId="1"/>
  </x:cellStyles>
  <x:dxfs count="2">
    <x:dxf>
      <x:font>
        <x:b/>
        <x:color rgb="FF9F302A"/>
      </x:font>
      <x:fill>
        <x:patternFill patternType="solid">
          <x:bgColor rgb="FFFCE5E2"/>
        </x:patternFill>
      </x:fill>
    </x:dxf>
    <x:dxf>
      <x:font>
        <x:b/>
        <x:color rgb="FF9F302A"/>
      </x:font>
      <x:fill>
        <x:patternFill patternType="solid">
          <x:bgColor rgb="FFFCE5E2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2CC"/>
      <x:rgbColor rgb="FFE7E6E6"/>
      <x:rgbColor rgb="FF660066"/>
      <x:rgbColor rgb="FFFF8080"/>
      <x:rgbColor rgb="FF0066CC"/>
      <x:rgbColor rgb="FFD9E1F2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D966"/>
      <x:rgbColor rgb="FF4472C4"/>
      <x:rgbColor rgb="FF33CCCC"/>
      <x:rgbColor rgb="FF92D050"/>
      <x:rgbColor rgb="FFFFCC00"/>
      <x:rgbColor rgb="FFFF9900"/>
      <x:rgbColor rgb="FFFF6600"/>
      <x:rgbColor rgb="FF666699"/>
      <x:rgbColor rgb="FF969696"/>
      <x:rgbColor rgb="FF003366"/>
      <x:rgbColor rgb="FF00B050"/>
      <x:rgbColor rgb="FF003300"/>
      <x:rgbColor rgb="FF333300"/>
      <x:rgbColor rgb="FF993300"/>
      <x:rgbColor rgb="FF993366"/>
      <x:rgbColor rgb="FF1F4E78"/>
      <x:rgbColor rgb="FF333333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c4e7f9c1794de2" /><Relationship Type="http://schemas.openxmlformats.org/officeDocument/2006/relationships/theme" Target="/xl/theme/theme1.xml" Id="Rbd50ef6f41624993" /><Relationship Type="http://schemas.openxmlformats.org/officeDocument/2006/relationships/sharedStrings" Target="/xl/sharedStrings.xml" Id="Red302ee36d214171" /><Relationship Type="http://schemas.openxmlformats.org/officeDocument/2006/relationships/worksheet" Target="/xl/worksheets/sheet1.xml" Id="R343391030213430f" /><Relationship Type="http://schemas.openxmlformats.org/officeDocument/2006/relationships/worksheet" Target="/xl/worksheets/sheet2.xml" Id="Ra22de78d1e894977" /><Relationship Type="http://schemas.openxmlformats.org/officeDocument/2006/relationships/worksheet" Target="/xl/worksheets/sheet3.xml" Id="R3184fab8e62e4c80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FinanceContact0" Type="http://schemas.openxmlformats.org/officeDocument/2006/relationships/hyperlink" Target="https://zacharyvorsteg.com/?topic=finance#contact" TargetMode="External" /></ns0:Relationships>
</file>

<file path=xl/worksheets/_rels/sheet3.xml.rels><?xml version='1.0' encoding='utf-8'?>
<ns0:Relationships xmlns:ns0="http://schemas.openxmlformats.org/package/2006/relationships"><ns0:Relationship Id="rIdFinanceContact0" Type="http://schemas.openxmlformats.org/officeDocument/2006/relationships/hyperlink" Target="https://zacharyvorsteg.com/?topic=finance#contact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9312D"/>
    <pageSetUpPr fitToPage="1"/>
  </sheetPr>
  <sheetViews>
    <sheetView showGridLines="0" workbookViewId="0">
      <pane xSplit="1" ySplit="6" topLeftCell="B7" activePane="bottomRight" state="frozen"/>
    </sheetView>
  </sheetViews>
  <sheetFormatPr baseColWidth="10" defaultColWidth="8.6640625" defaultRowHeight="15"/>
  <cols>
    <col min="1" max="1" width="43" hidden="0" customWidth="1"/>
    <col min="2" max="6" width="16" customWidth="1"/>
    <col min="2" max="2" width="14" hidden="0" customWidth="1"/>
    <col min="3" max="3" width="14" hidden="0" customWidth="1"/>
    <col min="4" max="4" width="14" hidden="0" customWidth="1"/>
    <col min="5" max="5" width="14" hidden="0" customWidth="1"/>
    <col min="6" max="6" width="14" hidden="0" customWidth="1"/>
    <col min="7" max="7" width="3" hidden="0" customWidth="1"/>
    <col min="8" max="8" width="44" hidden="0" customWidth="1"/>
    <col min="9" max="9" width="15" hidden="0" customWidth="1"/>
    <col min="10" max="10" width="3" hidden="0" customWidth="1"/>
  </cols>
  <sheetData>
    <row r="1" ht="32" customHeight="1">
      <c r="A1" s="119" t="str">
        <v>Income Statement</v>
      </c>
      <c r="B1" s="120"/>
      <c r="C1" s="120"/>
      <c r="D1" s="120"/>
      <c r="E1" s="120"/>
      <c r="F1" s="120"/>
      <c r="G1" s="120"/>
      <c r="H1" s="120"/>
      <c r="I1" s="120"/>
      <c r="J1" s="120"/>
    </row>
    <row r="2" ht="24" customHeight="1">
      <c r="A2" s="124" t="str">
        <v>Zachary Vorsteg. Illustrative industrial company. USD thousands. Blue cells are editable.</v>
      </c>
      <c r="B2" s="125"/>
      <c r="C2" s="125"/>
      <c r="D2" s="125"/>
      <c r="E2" s="125"/>
      <c r="F2" s="125"/>
      <c r="G2" s="125"/>
      <c r="H2" s="125"/>
      <c r="I2" s="125"/>
      <c r="J2" s="126"/>
    </row>
    <row r="3" ht="24" customHeight="1">
      <c r="A3" s="121" t="str">
        <v>2023 reference balances; four illustrative forecast years. See assumptions at right.</v>
      </c>
      <c r="B3" s="122"/>
      <c r="C3" s="122"/>
      <c r="D3" s="122"/>
      <c r="E3" s="122"/>
      <c r="F3" s="122"/>
      <c r="G3" s="103"/>
      <c r="H3" s="103"/>
      <c r="I3" s="103"/>
      <c r="J3" s="104"/>
    </row>
    <row r="4" ht="21" customHeight="1">
      <c r="A4" s="102"/>
      <c r="B4" s="103"/>
      <c r="C4" s="103"/>
      <c r="D4" s="103"/>
      <c r="E4" s="103"/>
      <c r="F4" s="103"/>
      <c r="G4" s="103"/>
      <c r="H4" s="103"/>
      <c r="I4" s="103"/>
      <c r="J4" s="104"/>
    </row>
    <row r="5" ht="25" customHeight="1">
      <c r="A5" s="102"/>
      <c r="B5" s="129" t="s">
        <v>0</v>
      </c>
      <c r="C5" s="129" t="s">
        <v>1</v>
      </c>
      <c r="D5" s="129" t="s">
        <v>2</v>
      </c>
      <c r="E5" s="129" t="s">
        <v>3</v>
      </c>
      <c r="F5" s="129" t="s">
        <v>4</v>
      </c>
      <c r="G5" s="103"/>
      <c r="H5" s="142" t="str">
        <v>Cost assumptions</v>
      </c>
      <c r="I5" s="142" t="str">
        <v>Rate</v>
      </c>
      <c r="J5" s="104"/>
    </row>
    <row r="6" ht="45" customHeight="1">
      <c r="A6" s="102"/>
      <c r="B6" s="130" t="str">
        <v>Reference</v>
      </c>
      <c r="C6" s="130" t="str">
        <v>Forecast</v>
      </c>
      <c r="D6" s="130" t="str">
        <v>Forecast</v>
      </c>
      <c r="E6" s="130" t="str">
        <v>Forecast</v>
      </c>
      <c r="F6" s="130" t="str">
        <v>Forecast</v>
      </c>
      <c r="G6" s="103"/>
      <c r="H6" s="144" t="str">
        <v>Equipment COGS uses equipment revenue. Service COGS uses service revenue. Other costs use total revenue.</v>
      </c>
      <c r="I6" s="103"/>
      <c r="J6" s="104"/>
    </row>
    <row r="7" ht="24" customHeight="1">
      <c r="A7" s="150" t="s">
        <v>5</v>
      </c>
      <c r="B7" s="151"/>
      <c r="C7" s="151"/>
      <c r="D7" s="151"/>
      <c r="E7" s="151"/>
      <c r="F7" s="151"/>
      <c r="G7" s="93"/>
      <c r="H7" s="103"/>
      <c r="I7" s="103"/>
      <c r="J7" s="104"/>
    </row>
    <row r="8" ht="21" customHeight="1">
      <c r="A8" s="92" t="s">
        <v>6</v>
      </c>
      <c r="B8" s="93"/>
      <c r="C8" s="93"/>
      <c r="D8" s="93"/>
      <c r="E8" s="93"/>
      <c r="F8" s="93"/>
      <c r="G8" s="93"/>
      <c r="H8" s="103" t="str">
        <v>Steel &amp; Raw Materials</v>
      </c>
      <c r="I8" s="170" t="n">
        <v>0.22</v>
      </c>
      <c r="J8" s="104"/>
    </row>
    <row r="9" ht="21" customHeight="1">
      <c r="A9" s="102" t="s">
        <v>7</v>
      </c>
      <c r="B9" s="165">
        <v>36936</v>
      </c>
      <c r="C9" s="165" t="n">
        <v>41368.32</v>
      </c>
      <c r="D9" s="165">
        <v>46332.518400000001</v>
      </c>
      <c r="E9" s="165">
        <v>51892.358399999997</v>
      </c>
      <c r="F9" s="165">
        <v>58119.508800000003</v>
      </c>
      <c r="G9" s="103"/>
      <c r="H9" s="103" t="str">
        <v>Hydraulic Systems &amp; Cylinders</v>
      </c>
      <c r="I9" s="170" t="n">
        <v>0.11</v>
      </c>
      <c r="J9" s="104"/>
    </row>
    <row r="10" ht="21" customHeight="1">
      <c r="A10" s="102" t="s">
        <v>8</v>
      </c>
      <c r="B10" s="165">
        <v>27702</v>
      </c>
      <c r="C10" s="165" t="n">
        <v>31026.24</v>
      </c>
      <c r="D10" s="165">
        <v>34749.388800000001</v>
      </c>
      <c r="E10" s="165">
        <v>38919.268799999998</v>
      </c>
      <c r="F10" s="165">
        <v>43589.631600000001</v>
      </c>
      <c r="G10" s="103"/>
      <c r="H10" s="103" t="str">
        <v>Diesel Engines &amp; Powertrains</v>
      </c>
      <c r="I10" s="170" t="n">
        <v>0.15</v>
      </c>
      <c r="J10" s="104"/>
    </row>
    <row r="11" ht="21" customHeight="1">
      <c r="A11" s="102" t="s">
        <v>9</v>
      </c>
      <c r="B11" s="165">
        <v>18468</v>
      </c>
      <c r="C11" s="165" t="n">
        <v>20684.16</v>
      </c>
      <c r="D11" s="165">
        <v>23166.2592</v>
      </c>
      <c r="E11" s="165">
        <v>25946.179199999999</v>
      </c>
      <c r="F11" s="165">
        <v>29059.754400000002</v>
      </c>
      <c r="G11" s="103"/>
      <c r="H11" s="103" t="str">
        <v>Electronics &amp; Control Systems</v>
      </c>
      <c r="I11" s="170" t="n">
        <v>0.06</v>
      </c>
      <c r="J11" s="104"/>
    </row>
    <row r="12" ht="21" customHeight="1">
      <c r="A12" s="102" t="s">
        <v>10</v>
      </c>
      <c r="B12" s="165">
        <v>9234</v>
      </c>
      <c r="C12" s="165" t="n">
        <v>10342.08</v>
      </c>
      <c r="D12" s="165">
        <v>11583.1296</v>
      </c>
      <c r="E12" s="165">
        <v>12973.089599999999</v>
      </c>
      <c r="F12" s="165">
        <v>14529.877200000001</v>
      </c>
      <c r="G12" s="103"/>
      <c r="H12" s="103" t="str">
        <v>Tires, Tracks &amp; Undercarriage</v>
      </c>
      <c r="I12" s="170" t="n">
        <v>0.04</v>
      </c>
      <c r="J12" s="104"/>
    </row>
    <row r="13" ht="23" customHeight="1">
      <c r="A13" s="158" t="s">
        <v>11</v>
      </c>
      <c r="B13" s="159" t="n">
        <f>SUM(B9:B12)</f>
        <v>92340</v>
      </c>
      <c r="C13" s="159" t="n">
        <f>SUM(C9:C12)</f>
        <v>103420.8</v>
      </c>
      <c r="D13" s="159" t="n">
        <f>SUM(D9:D12)</f>
        <v>115831.296</v>
      </c>
      <c r="E13" s="159" t="n">
        <f>SUM(E9:E12)</f>
        <v>129730.89599999998</v>
      </c>
      <c r="F13" s="159" t="n">
        <f>SUM(F9:F12)</f>
        <v>145298.772</v>
      </c>
      <c r="G13" s="103"/>
      <c r="H13" s="103" t="str">
        <v>Cab Assembly &amp; Operator Stations</v>
      </c>
      <c r="I13" s="170" t="n">
        <v>0.03</v>
      </c>
      <c r="J13" s="104"/>
    </row>
    <row r="14" ht="21" customHeight="1">
      <c r="A14" s="92" t="s">
        <v>12</v>
      </c>
      <c r="B14" s="93"/>
      <c r="C14" s="93"/>
      <c r="D14" s="93"/>
      <c r="E14" s="93"/>
      <c r="F14" s="93"/>
      <c r="G14" s="93"/>
      <c r="H14" s="103" t="str">
        <v>Direct Manufacturing Labor</v>
      </c>
      <c r="I14" s="170" t="n">
        <v>0.08</v>
      </c>
      <c r="J14" s="104"/>
    </row>
    <row r="15" ht="21" customHeight="1">
      <c r="A15" s="102" t="s">
        <v>7</v>
      </c>
      <c r="B15" s="165">
        <v>24624</v>
      </c>
      <c r="C15" s="165" t="n">
        <v>27578.88</v>
      </c>
      <c r="D15" s="165">
        <v>30888.345600000001</v>
      </c>
      <c r="E15" s="165">
        <v>34594.905599999998</v>
      </c>
      <c r="F15" s="165">
        <v>38746.339200000002</v>
      </c>
      <c r="G15" s="103"/>
      <c r="H15" s="103" t="str">
        <v>Factory Overhead &amp; Utilities</v>
      </c>
      <c r="I15" s="170" t="n">
        <v>0.04</v>
      </c>
      <c r="J15" s="104"/>
    </row>
    <row r="16" ht="21" customHeight="1">
      <c r="A16" s="102" t="s">
        <v>8</v>
      </c>
      <c r="B16" s="165">
        <v>18468</v>
      </c>
      <c r="C16" s="165" t="n">
        <v>20684.16</v>
      </c>
      <c r="D16" s="165">
        <v>23166.2592</v>
      </c>
      <c r="E16" s="165">
        <v>25946.179199999999</v>
      </c>
      <c r="F16" s="165">
        <v>29059.754400000002</v>
      </c>
      <c r="G16" s="103"/>
      <c r="H16" s="103" t="str">
        <v>Freight &amp; Logistics</v>
      </c>
      <c r="I16" s="170" t="n">
        <v>0.01</v>
      </c>
      <c r="J16" s="104"/>
    </row>
    <row r="17" ht="21" customHeight="1">
      <c r="A17" s="102" t="s">
        <v>9</v>
      </c>
      <c r="B17" s="165">
        <v>12312</v>
      </c>
      <c r="C17" s="165" t="n">
        <v>13789.44</v>
      </c>
      <c r="D17" s="165">
        <v>15444.1728</v>
      </c>
      <c r="E17" s="165">
        <v>17297.452799999999</v>
      </c>
      <c r="F17" s="165">
        <v>19373.169600000001</v>
      </c>
      <c r="G17" s="103"/>
      <c r="H17" s="103" t="str">
        <v>Parts Inventory &amp; Procurement</v>
      </c>
      <c r="I17" s="170" t="n">
        <v>0.28</v>
      </c>
      <c r="J17" s="104"/>
    </row>
    <row r="18" ht="21" customHeight="1">
      <c r="A18" s="102" t="s">
        <v>10</v>
      </c>
      <c r="B18" s="165">
        <v>6156</v>
      </c>
      <c r="C18" s="165" t="n">
        <v>6894.72</v>
      </c>
      <c r="D18" s="165">
        <v>7722.0864000000001</v>
      </c>
      <c r="E18" s="165">
        <v>8648.7263999999996</v>
      </c>
      <c r="F18" s="165">
        <v>9686.5848000000005</v>
      </c>
      <c r="G18" s="103"/>
      <c r="H18" s="103" t="str">
        <v>Field Technician Labor</v>
      </c>
      <c r="I18" s="170" t="n">
        <v>0.18</v>
      </c>
      <c r="J18" s="104"/>
    </row>
    <row r="19" ht="23" customHeight="1">
      <c r="A19" s="158" t="s">
        <v>13</v>
      </c>
      <c r="B19" s="159" t="n">
        <f>SUM(B15:B18)</f>
        <v>61560</v>
      </c>
      <c r="C19" s="159" t="n">
        <f>SUM(C15:C18)</f>
        <v>68947.2</v>
      </c>
      <c r="D19" s="159" t="n">
        <f>SUM(D15:D18)</f>
        <v>77220.864</v>
      </c>
      <c r="E19" s="159" t="n">
        <f>SUM(E15:E18)</f>
        <v>86487.264</v>
      </c>
      <c r="F19" s="159" t="n">
        <f>SUM(F15:F18)</f>
        <v>96865.84800000001</v>
      </c>
      <c r="G19" s="103"/>
      <c r="H19" s="103" t="str">
        <v>Service Vehicle Fleet &amp; Tools</v>
      </c>
      <c r="I19" s="170" t="n">
        <v>0.05</v>
      </c>
      <c r="J19" s="104"/>
    </row>
    <row r="20" ht="21" customHeight="1">
      <c r="A20" s="92" t="s">
        <v>14</v>
      </c>
      <c r="B20" s="93"/>
      <c r="C20" s="93"/>
      <c r="D20" s="93"/>
      <c r="E20" s="93"/>
      <c r="F20" s="93"/>
      <c r="G20" s="93"/>
      <c r="H20" s="103" t="str">
        <v>Warranty Claims &amp; Repairs</v>
      </c>
      <c r="I20" s="170" t="n">
        <v>0.04</v>
      </c>
      <c r="J20" s="104"/>
    </row>
    <row r="21" ht="21" customHeight="1">
      <c r="A21" s="102" t="s">
        <v>7</v>
      </c>
      <c r="B21" s="165">
        <v>16416</v>
      </c>
      <c r="C21" s="165" t="n">
        <v>18385.92</v>
      </c>
      <c r="D21" s="165">
        <v>20592.2304</v>
      </c>
      <c r="E21" s="165">
        <v>23063.270400000001</v>
      </c>
      <c r="F21" s="165">
        <v>25830.892800000001</v>
      </c>
      <c r="G21" s="103"/>
      <c r="H21" s="103" t="str">
        <v>Sales Team &amp; Commissions</v>
      </c>
      <c r="I21" s="170" t="n">
        <v>0.04</v>
      </c>
      <c r="J21" s="104"/>
    </row>
    <row r="22" ht="21" customHeight="1">
      <c r="A22" s="102" t="s">
        <v>8</v>
      </c>
      <c r="B22" s="165">
        <v>12312</v>
      </c>
      <c r="C22" s="165" t="n">
        <v>13789.44</v>
      </c>
      <c r="D22" s="165">
        <v>15444.1728</v>
      </c>
      <c r="E22" s="165">
        <v>17297.452799999999</v>
      </c>
      <c r="F22" s="165">
        <v>19373.169600000001</v>
      </c>
      <c r="G22" s="103"/>
      <c r="H22" s="103" t="str">
        <v>Dealer Network Support</v>
      </c>
      <c r="I22" s="170" t="n">
        <v>0.025</v>
      </c>
      <c r="J22" s="104"/>
    </row>
    <row r="23" ht="21" customHeight="1">
      <c r="A23" s="102" t="s">
        <v>9</v>
      </c>
      <c r="B23" s="165">
        <v>8208</v>
      </c>
      <c r="C23" s="165" t="n">
        <v>9192.96</v>
      </c>
      <c r="D23" s="165">
        <v>10296.1152</v>
      </c>
      <c r="E23" s="165">
        <v>11531.635200000001</v>
      </c>
      <c r="F23" s="165">
        <v>12915.446400000001</v>
      </c>
      <c r="G23" s="103"/>
      <c r="H23" s="103" t="str">
        <v>Trade Shows &amp; Demonstrations</v>
      </c>
      <c r="I23" s="170" t="n">
        <v>0.015</v>
      </c>
      <c r="J23" s="104"/>
    </row>
    <row r="24" ht="21" customHeight="1">
      <c r="A24" s="102" t="s">
        <v>10</v>
      </c>
      <c r="B24" s="165">
        <v>4104</v>
      </c>
      <c r="C24" s="165" t="n">
        <v>4596.48</v>
      </c>
      <c r="D24" s="165">
        <v>5148.0576000000001</v>
      </c>
      <c r="E24" s="165">
        <v>5765.8176000000003</v>
      </c>
      <c r="F24" s="165">
        <v>6457.7232000000004</v>
      </c>
      <c r="G24" s="103"/>
      <c r="H24" s="103" t="str">
        <v>Marketing &amp; Advertising</v>
      </c>
      <c r="I24" s="170" t="n">
        <v>0.01</v>
      </c>
      <c r="J24" s="104"/>
    </row>
    <row r="25" ht="23" customHeight="1">
      <c r="A25" s="158" t="s">
        <v>15</v>
      </c>
      <c r="B25" s="159" t="n">
        <f>SUM(B21:B24)</f>
        <v>41040</v>
      </c>
      <c r="C25" s="159" t="n">
        <f>SUM(C21:C24)</f>
        <v>45964.8</v>
      </c>
      <c r="D25" s="159" t="n">
        <f>SUM(D21:D24)</f>
        <v>51480.576</v>
      </c>
      <c r="E25" s="159" t="n">
        <f>SUM(E21:E24)</f>
        <v>57658.176</v>
      </c>
      <c r="F25" s="159" t="n">
        <f>SUM(F21:F24)</f>
        <v>64577.232</v>
      </c>
      <c r="G25" s="103"/>
      <c r="H25" s="103" t="str">
        <v>R&amp;D Engineering Staff</v>
      </c>
      <c r="I25" s="170" t="n">
        <v>0.025</v>
      </c>
      <c r="J25" s="104"/>
    </row>
    <row r="26" ht="21" customHeight="1">
      <c r="A26" s="92" t="s">
        <v>16</v>
      </c>
      <c r="B26" s="93"/>
      <c r="C26" s="93"/>
      <c r="D26" s="93"/>
      <c r="E26" s="93"/>
      <c r="F26" s="93"/>
      <c r="G26" s="93"/>
      <c r="H26" s="103" t="str">
        <v>Prototype Development &amp; Testing</v>
      </c>
      <c r="I26" s="170" t="n">
        <v>0.01</v>
      </c>
      <c r="J26" s="104"/>
    </row>
    <row r="27" ht="21" customHeight="1">
      <c r="A27" s="102" t="s">
        <v>7</v>
      </c>
      <c r="B27" s="165">
        <v>4104</v>
      </c>
      <c r="C27" s="165" t="n">
        <v>4596.48</v>
      </c>
      <c r="D27" s="165">
        <v>5148.0576000000001</v>
      </c>
      <c r="E27" s="165">
        <v>5765.8176000000003</v>
      </c>
      <c r="F27" s="165">
        <v>6457.7232000000004</v>
      </c>
      <c r="G27" s="103"/>
      <c r="H27" s="103" t="str">
        <v>Regulatory &amp; Safety Certifications</v>
      </c>
      <c r="I27" s="170" t="n">
        <v>0.005</v>
      </c>
      <c r="J27" s="104"/>
    </row>
    <row r="28" ht="21" customHeight="1">
      <c r="A28" s="102" t="s">
        <v>8</v>
      </c>
      <c r="B28" s="165">
        <v>3078</v>
      </c>
      <c r="C28" s="165" t="n">
        <v>3447.36</v>
      </c>
      <c r="D28" s="165">
        <v>3861.0432000000001</v>
      </c>
      <c r="E28" s="165">
        <v>4324.3631999999998</v>
      </c>
      <c r="F28" s="165">
        <v>4843.2924000000003</v>
      </c>
      <c r="G28" s="103"/>
      <c r="H28" s="103" t="str">
        <v>Executive &amp; Corporate Staff</v>
      </c>
      <c r="I28" s="170" t="n">
        <v>0.02</v>
      </c>
      <c r="J28" s="104"/>
    </row>
    <row r="29" ht="21" customHeight="1">
      <c r="A29" s="102" t="s">
        <v>9</v>
      </c>
      <c r="B29" s="165">
        <v>2052</v>
      </c>
      <c r="C29" s="165" t="n">
        <v>2298.24</v>
      </c>
      <c r="D29" s="165">
        <v>2574.0288</v>
      </c>
      <c r="E29" s="165">
        <v>2882.9088000000002</v>
      </c>
      <c r="F29" s="165">
        <v>3228.8616000000002</v>
      </c>
      <c r="G29" s="103"/>
      <c r="H29" s="103" t="str">
        <v>Finance &amp; Accounting</v>
      </c>
      <c r="I29" s="170" t="n">
        <v>0.015</v>
      </c>
      <c r="J29" s="104"/>
    </row>
    <row r="30" ht="21" customHeight="1">
      <c r="A30" s="102" t="s">
        <v>10</v>
      </c>
      <c r="B30" s="165">
        <v>1026</v>
      </c>
      <c r="C30" s="165" t="n">
        <v>1149.12</v>
      </c>
      <c r="D30" s="165">
        <v>1287.0144</v>
      </c>
      <c r="E30" s="165">
        <v>1441.4544000000001</v>
      </c>
      <c r="F30" s="165">
        <v>1614.4308000000001</v>
      </c>
      <c r="G30" s="103"/>
      <c r="H30" s="103" t="str">
        <v>Information Technology</v>
      </c>
      <c r="I30" s="170" t="n">
        <v>0.01</v>
      </c>
      <c r="J30" s="104"/>
    </row>
    <row r="31" ht="23" customHeight="1">
      <c r="A31" s="158" t="s">
        <v>17</v>
      </c>
      <c r="B31" s="159" t="n">
        <f>SUM(B27:B30)</f>
        <v>10260</v>
      </c>
      <c r="C31" s="159" t="n">
        <f>SUM(C27:C30)</f>
        <v>11491.2</v>
      </c>
      <c r="D31" s="159" t="n">
        <f>SUM(D27:D30)</f>
        <v>12870.144</v>
      </c>
      <c r="E31" s="159" t="n">
        <f>SUM(E27:E30)</f>
        <v>14414.544</v>
      </c>
      <c r="F31" s="159" t="n">
        <f>SUM(F27:F30)</f>
        <v>16144.308</v>
      </c>
      <c r="G31" s="103"/>
      <c r="H31" s="103" t="str">
        <v>Facilities &amp; Real Estate</v>
      </c>
      <c r="I31" s="170" t="n">
        <v>0.008</v>
      </c>
      <c r="J31" s="104"/>
    </row>
    <row r="32" ht="23" customHeight="1">
      <c r="A32" s="158" t="s">
        <v>18</v>
      </c>
      <c r="B32" s="159" t="n">
        <f>B13+B19+B25+B31</f>
        <v>205200</v>
      </c>
      <c r="C32" s="159" t="n">
        <f>C13+C19+C25+C31</f>
        <v>229824</v>
      </c>
      <c r="D32" s="159" t="n">
        <f>D13+D19+D25+D31</f>
        <v>257402.88</v>
      </c>
      <c r="E32" s="159" t="n">
        <f>E13+E19+E25+E31</f>
        <v>288290.87999999995</v>
      </c>
      <c r="F32" s="159" t="n">
        <f>F13+F19+F25+F31</f>
        <v>322886.16000000003</v>
      </c>
      <c r="G32" s="103"/>
      <c r="H32" s="103" t="str">
        <v>Legal &amp; Professional Fees</v>
      </c>
      <c r="I32" s="170" t="n">
        <v>0.005</v>
      </c>
      <c r="J32" s="104"/>
    </row>
    <row r="33" ht="21" customHeight="1">
      <c r="A33" s="102"/>
      <c r="B33" s="103"/>
      <c r="C33" s="103"/>
      <c r="D33" s="103"/>
      <c r="E33" s="103"/>
      <c r="F33" s="103"/>
      <c r="G33" s="103"/>
      <c r="H33" s="103" t="str">
        <v>Insurance</v>
      </c>
      <c r="I33" s="170" t="n">
        <v>0.002</v>
      </c>
      <c r="J33" s="104"/>
    </row>
    <row r="34" ht="24" customHeight="1">
      <c r="A34" s="150" t="s">
        <v>19</v>
      </c>
      <c r="B34" s="151"/>
      <c r="C34" s="151"/>
      <c r="D34" s="151"/>
      <c r="E34" s="151"/>
      <c r="F34" s="151"/>
      <c r="G34" s="93"/>
      <c r="H34" s="103"/>
      <c r="I34" s="171"/>
      <c r="J34" s="104"/>
    </row>
    <row r="35" ht="21" customHeight="1">
      <c r="A35" s="102" t="s">
        <v>20</v>
      </c>
      <c r="B35" s="165">
        <v>39900</v>
      </c>
      <c r="C35" s="165" t="n">
        <v>44688</v>
      </c>
      <c r="D35" s="165">
        <v>50050.559999999998</v>
      </c>
      <c r="E35" s="165">
        <v>56056.56</v>
      </c>
      <c r="F35" s="165">
        <v>62783.42</v>
      </c>
      <c r="G35" s="103"/>
      <c r="H35" s="103"/>
      <c r="I35" s="171"/>
      <c r="J35" s="104"/>
    </row>
    <row r="36" ht="21" customHeight="1">
      <c r="A36" s="102" t="s">
        <v>21</v>
      </c>
      <c r="B36" s="165">
        <v>19950</v>
      </c>
      <c r="C36" s="165" t="n">
        <v>22344</v>
      </c>
      <c r="D36" s="165">
        <v>25025.279999999999</v>
      </c>
      <c r="E36" s="165">
        <v>28028.28</v>
      </c>
      <c r="F36" s="165">
        <v>31391.71</v>
      </c>
      <c r="G36" s="103"/>
      <c r="H36" s="103" t="str">
        <v>Income tax rate</v>
      </c>
      <c r="I36" s="170" t="n">
        <v>0.23</v>
      </c>
      <c r="J36" s="104"/>
    </row>
    <row r="37" ht="21" customHeight="1">
      <c r="A37" s="102" t="s">
        <v>22</v>
      </c>
      <c r="B37" s="165">
        <v>15960</v>
      </c>
      <c r="C37" s="165" t="n">
        <v>17875.2</v>
      </c>
      <c r="D37" s="165">
        <v>20020.223999999998</v>
      </c>
      <c r="E37" s="165">
        <v>22422.624</v>
      </c>
      <c r="F37" s="165">
        <v>25113.367999999999</v>
      </c>
      <c r="G37" s="103"/>
      <c r="H37" s="103" t="str">
        <v>Annual depreciation rate</v>
      </c>
      <c r="I37" s="170" t="n">
        <v>0.08</v>
      </c>
      <c r="J37" s="104"/>
    </row>
    <row r="38" ht="21" customHeight="1">
      <c r="A38" s="102" t="s">
        <v>23</v>
      </c>
      <c r="B38" s="165">
        <v>3990</v>
      </c>
      <c r="C38" s="165" t="n">
        <v>4468.8</v>
      </c>
      <c r="D38" s="165">
        <v>5005.0559999999996</v>
      </c>
      <c r="E38" s="165">
        <v>5605.6559999999999</v>
      </c>
      <c r="F38" s="165">
        <v>6278.3419999999996</v>
      </c>
      <c r="G38" s="103"/>
      <c r="H38" s="103"/>
      <c r="I38" s="103"/>
      <c r="J38" s="104"/>
    </row>
    <row r="39" ht="23" customHeight="1">
      <c r="A39" s="158" t="s">
        <v>24</v>
      </c>
      <c r="B39" s="159" t="n">
        <f>SUM(B35:B38)</f>
        <v>79800</v>
      </c>
      <c r="C39" s="159" t="n">
        <f>SUM(C35:C38)</f>
        <v>89376</v>
      </c>
      <c r="D39" s="159" t="n">
        <f>SUM(D35:D38)</f>
        <v>100101.12</v>
      </c>
      <c r="E39" s="159" t="n">
        <f>SUM(E35:E38)</f>
        <v>112113.12</v>
      </c>
      <c r="F39" s="159" t="n">
        <f>SUM(F35:F38)</f>
        <v>125566.84000000001</v>
      </c>
      <c r="G39" s="103"/>
      <c r="H39" s="144" t="str">
        <v>Cash operating cost ratios exclude depreciation. No tax refunds or loss carryforwards are modeled.</v>
      </c>
      <c r="I39" s="145"/>
      <c r="J39" s="104"/>
    </row>
    <row r="40" ht="21" customHeight="1">
      <c r="A40" s="102"/>
      <c r="B40" s="103"/>
      <c r="C40" s="103"/>
      <c r="D40" s="103"/>
      <c r="E40" s="103"/>
      <c r="F40" s="103"/>
      <c r="G40" s="103"/>
      <c r="H40" s="145"/>
      <c r="I40" s="145"/>
      <c r="J40" s="104"/>
    </row>
    <row r="41" ht="23" customHeight="1">
      <c r="A41" s="158" t="s">
        <v>25</v>
      </c>
      <c r="B41" s="175" t="n">
        <f>B32+B39</f>
        <v>285000</v>
      </c>
      <c r="C41" s="175" t="n">
        <f>C32+C39</f>
        <v>319200</v>
      </c>
      <c r="D41" s="175" t="n">
        <f>D32+D39</f>
        <v>357504</v>
      </c>
      <c r="E41" s="175" t="n">
        <f>E32+E39</f>
        <v>400403.99999999994</v>
      </c>
      <c r="F41" s="175" t="n">
        <f>F32+F39</f>
        <v>448453.00000000006</v>
      </c>
      <c r="G41" s="103"/>
      <c r="H41" s="103"/>
      <c r="I41" s="103"/>
      <c r="J41" s="104"/>
    </row>
    <row r="42" ht="21" customHeight="1">
      <c r="A42" s="102"/>
      <c r="B42" s="103"/>
      <c r="C42" s="103"/>
      <c r="D42" s="103"/>
      <c r="E42" s="103"/>
      <c r="F42" s="103"/>
      <c r="G42" s="103"/>
      <c r="H42" s="144" t="str">
        <v>Change blue revenue, balance-sheet and rate inputs. Opening data must reconcile before replacing the example.</v>
      </c>
      <c r="I42" s="145"/>
      <c r="J42" s="104"/>
    </row>
    <row r="43" ht="24" customHeight="1">
      <c r="A43" s="150" t="s">
        <v>26</v>
      </c>
      <c r="B43" s="151"/>
      <c r="C43" s="151"/>
      <c r="D43" s="151"/>
      <c r="E43" s="151"/>
      <c r="F43" s="151"/>
      <c r="G43" s="93"/>
      <c r="H43" s="145"/>
      <c r="I43" s="145"/>
      <c r="J43" s="104"/>
    </row>
    <row r="44" ht="21" customHeight="1">
      <c r="A44" s="92" t="s">
        <v>27</v>
      </c>
      <c r="B44" s="93"/>
      <c r="C44" s="93"/>
      <c r="D44" s="93"/>
      <c r="E44" s="93"/>
      <c r="F44" s="93"/>
      <c r="G44" s="93"/>
      <c r="H44" s="145"/>
      <c r="I44" s="145"/>
      <c r="J44" s="104"/>
    </row>
    <row r="45" ht="21" customHeight="1">
      <c r="A45" s="102" t="s">
        <v>28</v>
      </c>
      <c r="B45" s="106" t="n">
        <f>B32*$I$8</f>
        <v>45144</v>
      </c>
      <c r="C45" s="106" t="n">
        <f>C32*$I$8</f>
        <v>50561.28</v>
      </c>
      <c r="D45" s="106" t="n">
        <f>D32*$I$8</f>
        <v>56628.6336</v>
      </c>
      <c r="E45" s="106" t="n">
        <f>E32*$I$8</f>
        <v>63423.99359999999</v>
      </c>
      <c r="F45" s="106" t="n">
        <f>F32*$I$8</f>
        <v>71034.95520000001</v>
      </c>
      <c r="G45" s="103"/>
      <c r="H45" s="103"/>
      <c r="I45" s="103"/>
      <c r="J45" s="104"/>
    </row>
    <row r="46" ht="21" customHeight="1">
      <c r="A46" s="102" t="s">
        <v>29</v>
      </c>
      <c r="B46" s="106" t="n">
        <f>B32*$I$9</f>
        <v>22572</v>
      </c>
      <c r="C46" s="106" t="n">
        <f>C32*$I$9</f>
        <v>25280.64</v>
      </c>
      <c r="D46" s="106" t="n">
        <f>D32*$I$9</f>
        <v>28314.3168</v>
      </c>
      <c r="E46" s="106" t="n">
        <f>E32*$I$9</f>
        <v>31711.996799999994</v>
      </c>
      <c r="F46" s="106" t="n">
        <f>F32*$I$9</f>
        <v>35517.477600000006</v>
      </c>
      <c r="G46" s="103"/>
      <c r="H46" s="103"/>
      <c r="I46" s="103"/>
      <c r="J46" s="104"/>
    </row>
    <row r="47" ht="30" customHeight="1">
      <c r="A47" s="102" t="s">
        <v>30</v>
      </c>
      <c r="B47" s="106" t="n">
        <f>B32*$I$10</f>
        <v>30780</v>
      </c>
      <c r="C47" s="106" t="n">
        <f>C32*$I$10</f>
        <v>34473.6</v>
      </c>
      <c r="D47" s="106" t="n">
        <f>D32*$I$10</f>
        <v>38610.432</v>
      </c>
      <c r="E47" s="106" t="n">
        <f>E32*$I$10</f>
        <v>43243.63199999999</v>
      </c>
      <c r="F47" s="106" t="n">
        <f>F32*$I$10</f>
        <v>48432.924000000006</v>
      </c>
      <c r="G47" s="103"/>
      <c r="H47" s="147" t="str">
        <v>https://zacharyvorsteg.com/?topic=finance#contact</v>
      </c>
      <c r="I47" s="103"/>
      <c r="J47" s="104"/>
    </row>
    <row r="48" ht="21" customHeight="1">
      <c r="A48" s="102" t="s">
        <v>31</v>
      </c>
      <c r="B48" s="106" t="n">
        <f>B32*$I$11</f>
        <v>12312</v>
      </c>
      <c r="C48" s="106" t="n">
        <f>C32*$I$11</f>
        <v>13789.439999999999</v>
      </c>
      <c r="D48" s="106" t="n">
        <f>D32*$I$11</f>
        <v>15444.1728</v>
      </c>
      <c r="E48" s="106" t="n">
        <f>E32*$I$11</f>
        <v>17297.452799999995</v>
      </c>
      <c r="F48" s="106" t="n">
        <f>F32*$I$11</f>
        <v>19373.1696</v>
      </c>
      <c r="G48" s="103"/>
      <c r="H48" s="103"/>
      <c r="I48" s="103"/>
      <c r="J48" s="104"/>
    </row>
    <row r="49" ht="21" customHeight="1">
      <c r="A49" s="102" t="s">
        <v>32</v>
      </c>
      <c r="B49" s="106" t="n">
        <f>B32*$I$12</f>
        <v>8208</v>
      </c>
      <c r="C49" s="106" t="n">
        <f>C32*$I$12</f>
        <v>9192.960000000001</v>
      </c>
      <c r="D49" s="106" t="n">
        <f>D32*$I$12</f>
        <v>10296.1152</v>
      </c>
      <c r="E49" s="106" t="n">
        <f>E32*$I$12</f>
        <v>11531.635199999999</v>
      </c>
      <c r="F49" s="106" t="n">
        <f>F32*$I$12</f>
        <v>12915.4464</v>
      </c>
      <c r="G49" s="103"/>
      <c r="H49" s="103"/>
      <c r="I49" s="103"/>
      <c r="J49" s="104"/>
    </row>
    <row r="50" ht="21" customHeight="1">
      <c r="A50" s="102" t="s">
        <v>33</v>
      </c>
      <c r="B50" s="106" t="n">
        <f>B32*$I$13</f>
        <v>6156</v>
      </c>
      <c r="C50" s="106" t="n">
        <f>C32*$I$13</f>
        <v>6894.719999999999</v>
      </c>
      <c r="D50" s="106" t="n">
        <f>D32*$I$13</f>
        <v>7722.0864</v>
      </c>
      <c r="E50" s="106" t="n">
        <f>E32*$I$13</f>
        <v>8648.726399999998</v>
      </c>
      <c r="F50" s="106" t="n">
        <f>F32*$I$13</f>
        <v>9686.5848</v>
      </c>
      <c r="G50" s="103"/>
      <c r="H50" s="103"/>
      <c r="I50" s="103"/>
      <c r="J50" s="104"/>
    </row>
    <row r="51" ht="21" customHeight="1">
      <c r="A51" s="102" t="s">
        <v>34</v>
      </c>
      <c r="B51" s="106" t="n">
        <f>B32*$I$14</f>
        <v>16416</v>
      </c>
      <c r="C51" s="106" t="n">
        <f>C32*$I$14</f>
        <v>18385.920000000002</v>
      </c>
      <c r="D51" s="106" t="n">
        <f>D32*$I$14</f>
        <v>20592.2304</v>
      </c>
      <c r="E51" s="106" t="n">
        <f>E32*$I$14</f>
        <v>23063.270399999998</v>
      </c>
      <c r="F51" s="106" t="n">
        <f>F32*$I$14</f>
        <v>25830.8928</v>
      </c>
      <c r="G51" s="103"/>
      <c r="H51" s="103"/>
      <c r="I51" s="103"/>
      <c r="J51" s="104"/>
    </row>
    <row r="52" ht="21" customHeight="1">
      <c r="A52" s="102" t="str">
        <v>Factory overhead &amp; utilities (ex-D&amp;A)</v>
      </c>
      <c r="B52" s="106" t="n">
        <f>B32*$I$15</f>
        <v>8208</v>
      </c>
      <c r="C52" s="106" t="n">
        <f>C32*$I$15</f>
        <v>9192.960000000001</v>
      </c>
      <c r="D52" s="106" t="n">
        <f>D32*$I$15</f>
        <v>10296.1152</v>
      </c>
      <c r="E52" s="106" t="n">
        <f>E32*$I$15</f>
        <v>11531.635199999999</v>
      </c>
      <c r="F52" s="106" t="n">
        <f>F32*$I$15</f>
        <v>12915.4464</v>
      </c>
      <c r="G52" s="103"/>
      <c r="H52" s="103"/>
      <c r="I52" s="103"/>
      <c r="J52" s="104"/>
    </row>
    <row r="53" ht="21" customHeight="1">
      <c r="A53" s="102" t="s">
        <v>35</v>
      </c>
      <c r="B53" s="106" t="n">
        <f>B32*$I$16</f>
        <v>2052</v>
      </c>
      <c r="C53" s="106" t="n">
        <f>C32*$I$16</f>
        <v>2298.2400000000002</v>
      </c>
      <c r="D53" s="106" t="n">
        <f>D32*$I$16</f>
        <v>2574.0288</v>
      </c>
      <c r="E53" s="106" t="n">
        <f>E32*$I$16</f>
        <v>2882.9087999999997</v>
      </c>
      <c r="F53" s="106" t="n">
        <f>F32*$I$16</f>
        <v>3228.8616</v>
      </c>
      <c r="G53" s="103"/>
      <c r="H53" s="103"/>
      <c r="I53" s="103"/>
      <c r="J53" s="104"/>
    </row>
    <row r="54" ht="23" customHeight="1">
      <c r="A54" s="158" t="s">
        <v>36</v>
      </c>
      <c r="B54" s="159" t="n">
        <f>SUM(B45:B53)</f>
        <v>151848</v>
      </c>
      <c r="C54" s="159" t="n">
        <f>SUM(C45:C53)</f>
        <v>170069.75999999998</v>
      </c>
      <c r="D54" s="159" t="n">
        <f>SUM(D45:D53)</f>
        <v>190478.1312</v>
      </c>
      <c r="E54" s="159" t="n">
        <f>SUM(E45:E53)</f>
        <v>213335.25119999994</v>
      </c>
      <c r="F54" s="159" t="n">
        <f>SUM(F45:F53)</f>
        <v>238935.7584</v>
      </c>
      <c r="G54" s="103"/>
      <c r="H54" s="103"/>
      <c r="I54" s="103"/>
      <c r="J54" s="104"/>
    </row>
    <row r="55" ht="21" customHeight="1">
      <c r="A55" s="92" t="s">
        <v>37</v>
      </c>
      <c r="B55" s="93"/>
      <c r="C55" s="93"/>
      <c r="D55" s="93"/>
      <c r="E55" s="93"/>
      <c r="F55" s="93"/>
      <c r="G55" s="93"/>
      <c r="H55" s="103"/>
      <c r="I55" s="103"/>
      <c r="J55" s="104"/>
    </row>
    <row r="56" ht="21" customHeight="1">
      <c r="A56" s="102" t="s">
        <v>38</v>
      </c>
      <c r="B56" s="106" t="n">
        <f>B39*$I$17</f>
        <v>22344.000000000004</v>
      </c>
      <c r="C56" s="106" t="n">
        <f>C39*$I$17</f>
        <v>25025.280000000002</v>
      </c>
      <c r="D56" s="106" t="n">
        <f>D39*$I$17</f>
        <v>28028.3136</v>
      </c>
      <c r="E56" s="106" t="n">
        <f>E39*$I$17</f>
        <v>31391.673600000002</v>
      </c>
      <c r="F56" s="106" t="n">
        <f>F39*$I$17</f>
        <v>35158.715200000006</v>
      </c>
      <c r="G56" s="103"/>
      <c r="H56" s="103"/>
      <c r="I56" s="103"/>
      <c r="J56" s="104"/>
    </row>
    <row r="57" ht="21" customHeight="1">
      <c r="A57" s="102" t="s">
        <v>39</v>
      </c>
      <c r="B57" s="106" t="n">
        <f>B39*$I$18</f>
        <v>14364</v>
      </c>
      <c r="C57" s="106" t="n">
        <f>C39*$I$18</f>
        <v>16087.68</v>
      </c>
      <c r="D57" s="106" t="n">
        <f>D39*$I$18</f>
        <v>18018.201599999997</v>
      </c>
      <c r="E57" s="106" t="n">
        <f>E39*$I$18</f>
        <v>20180.3616</v>
      </c>
      <c r="F57" s="106" t="n">
        <f>F39*$I$18</f>
        <v>22602.0312</v>
      </c>
      <c r="G57" s="103"/>
      <c r="H57" s="103"/>
      <c r="I57" s="103"/>
      <c r="J57" s="104"/>
    </row>
    <row r="58" ht="21" customHeight="1">
      <c r="A58" s="102" t="s">
        <v>40</v>
      </c>
      <c r="B58" s="106" t="n">
        <f>B39*$I$19</f>
        <v>3990</v>
      </c>
      <c r="C58" s="106" t="n">
        <f>C39*$I$19</f>
        <v>4468.8</v>
      </c>
      <c r="D58" s="106" t="n">
        <f>D39*$I$19</f>
        <v>5005.0560000000005</v>
      </c>
      <c r="E58" s="106" t="n">
        <f>E39*$I$19</f>
        <v>5605.656</v>
      </c>
      <c r="F58" s="106" t="n">
        <f>F39*$I$19</f>
        <v>6278.342000000001</v>
      </c>
      <c r="G58" s="103"/>
      <c r="H58" s="103"/>
      <c r="I58" s="103"/>
      <c r="J58" s="104"/>
    </row>
    <row r="59" ht="21" customHeight="1">
      <c r="A59" s="102" t="s">
        <v>41</v>
      </c>
      <c r="B59" s="106" t="n">
        <f>B39*$I$20</f>
        <v>3192</v>
      </c>
      <c r="C59" s="106" t="n">
        <f>C39*$I$20</f>
        <v>3575.04</v>
      </c>
      <c r="D59" s="106" t="n">
        <f>D39*$I$20</f>
        <v>4004.0448</v>
      </c>
      <c r="E59" s="106" t="n">
        <f>E39*$I$20</f>
        <v>4484.5248</v>
      </c>
      <c r="F59" s="106" t="n">
        <f>F39*$I$20</f>
        <v>5022.673600000001</v>
      </c>
      <c r="G59" s="103"/>
      <c r="H59" s="103"/>
      <c r="I59" s="103"/>
      <c r="J59" s="104"/>
    </row>
    <row r="60" ht="23" customHeight="1">
      <c r="A60" s="158" t="s">
        <v>42</v>
      </c>
      <c r="B60" s="159" t="n">
        <f>SUM(B56:B59)</f>
        <v>43890</v>
      </c>
      <c r="C60" s="159" t="n">
        <f>SUM(C56:C59)</f>
        <v>49156.80000000001</v>
      </c>
      <c r="D60" s="159" t="n">
        <f>SUM(D56:D59)</f>
        <v>55055.615999999995</v>
      </c>
      <c r="E60" s="159" t="n">
        <f>SUM(E56:E59)</f>
        <v>61662.216</v>
      </c>
      <c r="F60" s="159" t="n">
        <f>SUM(F56:F59)</f>
        <v>69061.762</v>
      </c>
      <c r="G60" s="103"/>
      <c r="H60" s="103"/>
      <c r="I60" s="103"/>
      <c r="J60" s="104"/>
    </row>
    <row r="61" ht="23" customHeight="1">
      <c r="A61" s="158" t="s">
        <v>43</v>
      </c>
      <c r="B61" s="159" t="n">
        <f>B54+B60</f>
        <v>195738</v>
      </c>
      <c r="C61" s="159" t="n">
        <f>C54+C60</f>
        <v>219226.56</v>
      </c>
      <c r="D61" s="159" t="n">
        <f>D54+D60</f>
        <v>245533.74719999998</v>
      </c>
      <c r="E61" s="159" t="n">
        <f>E54+E60</f>
        <v>274997.46719999996</v>
      </c>
      <c r="F61" s="159" t="n">
        <f>F54+F60</f>
        <v>307997.5204</v>
      </c>
      <c r="G61" s="103"/>
      <c r="H61" s="103"/>
      <c r="I61" s="103"/>
      <c r="J61" s="104"/>
    </row>
    <row r="62" ht="21" customHeight="1">
      <c r="A62" s="102"/>
      <c r="B62" s="103"/>
      <c r="C62" s="103"/>
      <c r="D62" s="103"/>
      <c r="E62" s="103"/>
      <c r="F62" s="103"/>
      <c r="G62" s="103"/>
      <c r="H62" s="103"/>
      <c r="I62" s="103"/>
      <c r="J62" s="104"/>
    </row>
    <row r="63" ht="23" customHeight="1">
      <c r="A63" s="158" t="s">
        <v>44</v>
      </c>
      <c r="B63" s="159" t="n">
        <f>B41-B61</f>
        <v>89262</v>
      </c>
      <c r="C63" s="159" t="n">
        <f>C41-C61</f>
        <v>99973.44</v>
      </c>
      <c r="D63" s="159" t="n">
        <f>D41-D61</f>
        <v>111970.25280000002</v>
      </c>
      <c r="E63" s="159" t="n">
        <f>E41-E61</f>
        <v>125406.53279999999</v>
      </c>
      <c r="F63" s="159" t="n">
        <f>F41-F61</f>
        <v>140455.47960000008</v>
      </c>
      <c r="G63" s="103"/>
      <c r="H63" s="103"/>
      <c r="I63" s="103"/>
      <c r="J63" s="104"/>
    </row>
    <row r="64" ht="21" customHeight="1">
      <c r="A64" s="172" t="s">
        <v>45</v>
      </c>
      <c r="B64" s="174" t="n">
        <f>IF(B41=0,"n.a.",B63/B41)</f>
        <v>0.3132</v>
      </c>
      <c r="C64" s="174" t="n">
        <f>IF(C41=0,"n.a.",C63/C41)</f>
        <v>0.31320000000000003</v>
      </c>
      <c r="D64" s="174" t="n">
        <f>IF(D41=0,"n.a.",D63/D41)</f>
        <v>0.31320000000000003</v>
      </c>
      <c r="E64" s="174" t="n">
        <f>IF(E41=0,"n.a.",E63/E41)</f>
        <v>0.31320000000000003</v>
      </c>
      <c r="F64" s="174" t="n">
        <f>IF(F41=0,"n.a.",F63/F41)</f>
        <v>0.31320000000000014</v>
      </c>
      <c r="G64" s="103"/>
      <c r="H64" s="103"/>
      <c r="I64" s="103"/>
      <c r="J64" s="104"/>
    </row>
    <row r="65" ht="21" customHeight="1">
      <c r="A65" s="102"/>
      <c r="B65" s="103"/>
      <c r="C65" s="103"/>
      <c r="D65" s="103"/>
      <c r="E65" s="103"/>
      <c r="F65" s="103"/>
      <c r="G65" s="103"/>
      <c r="H65" s="103"/>
      <c r="I65" s="103"/>
      <c r="J65" s="104"/>
    </row>
    <row r="66" ht="24" customHeight="1">
      <c r="A66" s="150" t="s">
        <v>46</v>
      </c>
      <c r="B66" s="151"/>
      <c r="C66" s="151"/>
      <c r="D66" s="151"/>
      <c r="E66" s="151"/>
      <c r="F66" s="151"/>
      <c r="G66" s="93"/>
      <c r="H66" s="103"/>
      <c r="I66" s="103"/>
      <c r="J66" s="104"/>
    </row>
    <row r="67" ht="21" customHeight="1">
      <c r="A67" s="92" t="s">
        <v>47</v>
      </c>
      <c r="B67" s="93"/>
      <c r="C67" s="93"/>
      <c r="D67" s="93"/>
      <c r="E67" s="93"/>
      <c r="F67" s="93"/>
      <c r="G67" s="93"/>
      <c r="H67" s="103"/>
      <c r="I67" s="103"/>
      <c r="J67" s="104"/>
    </row>
    <row r="68" ht="21" customHeight="1">
      <c r="A68" s="102" t="s">
        <v>48</v>
      </c>
      <c r="B68" s="106" t="n">
        <f>B41*$I$21</f>
        <v>11400</v>
      </c>
      <c r="C68" s="106" t="n">
        <f>C41*$I$21</f>
        <v>12768</v>
      </c>
      <c r="D68" s="106" t="n">
        <f>D41*$I$21</f>
        <v>14300.16</v>
      </c>
      <c r="E68" s="106" t="n">
        <f>E41*$I$21</f>
        <v>16016.159999999998</v>
      </c>
      <c r="F68" s="106" t="n">
        <f>F41*$I$21</f>
        <v>17938.120000000003</v>
      </c>
      <c r="G68" s="103"/>
      <c r="H68" s="103"/>
      <c r="I68" s="103"/>
      <c r="J68" s="104"/>
    </row>
    <row r="69" ht="21" customHeight="1">
      <c r="A69" s="102" t="s">
        <v>49</v>
      </c>
      <c r="B69" s="106" t="n">
        <f>B41*$I$22</f>
        <v>7125</v>
      </c>
      <c r="C69" s="106" t="n">
        <f>C41*$I$22</f>
        <v>7980</v>
      </c>
      <c r="D69" s="106" t="n">
        <f>D41*$I$22</f>
        <v>8937.6</v>
      </c>
      <c r="E69" s="106" t="n">
        <f>E41*$I$22</f>
        <v>10010.099999999999</v>
      </c>
      <c r="F69" s="106" t="n">
        <f>F41*$I$22</f>
        <v>11211.325000000003</v>
      </c>
      <c r="G69" s="103"/>
      <c r="H69" s="103"/>
      <c r="I69" s="103"/>
      <c r="J69" s="104"/>
    </row>
    <row r="70" ht="21" customHeight="1">
      <c r="A70" s="102" t="s">
        <v>50</v>
      </c>
      <c r="B70" s="106" t="n">
        <f>B41*$I$23</f>
        <v>4275</v>
      </c>
      <c r="C70" s="106" t="n">
        <f>C41*$I$23</f>
        <v>4788</v>
      </c>
      <c r="D70" s="106" t="n">
        <f>D41*$I$23</f>
        <v>5362.5599999999995</v>
      </c>
      <c r="E70" s="106" t="n">
        <f>E41*$I$23</f>
        <v>6006.059999999999</v>
      </c>
      <c r="F70" s="106" t="n">
        <f>F41*$I$23</f>
        <v>6726.795000000001</v>
      </c>
      <c r="G70" s="103"/>
      <c r="H70" s="103"/>
      <c r="I70" s="103"/>
      <c r="J70" s="104"/>
    </row>
    <row r="71" ht="21" customHeight="1">
      <c r="A71" s="102" t="s">
        <v>51</v>
      </c>
      <c r="B71" s="106" t="n">
        <f>B41*$I$24</f>
        <v>2850</v>
      </c>
      <c r="C71" s="106" t="n">
        <f>C41*$I$24</f>
        <v>3192</v>
      </c>
      <c r="D71" s="106" t="n">
        <f>D41*$I$24</f>
        <v>3575.04</v>
      </c>
      <c r="E71" s="106" t="n">
        <f>E41*$I$24</f>
        <v>4004.0399999999995</v>
      </c>
      <c r="F71" s="106" t="n">
        <f>F41*$I$24</f>
        <v>4484.530000000001</v>
      </c>
      <c r="G71" s="103"/>
      <c r="H71" s="103"/>
      <c r="I71" s="103"/>
      <c r="J71" s="104"/>
    </row>
    <row r="72" ht="23" customHeight="1">
      <c r="A72" s="158" t="s">
        <v>52</v>
      </c>
      <c r="B72" s="159" t="n">
        <f>SUM(B68:B71)</f>
        <v>25650</v>
      </c>
      <c r="C72" s="159" t="n">
        <f>SUM(C68:C71)</f>
        <v>28728</v>
      </c>
      <c r="D72" s="159" t="n">
        <f>SUM(D68:D71)</f>
        <v>32175.36</v>
      </c>
      <c r="E72" s="159" t="n">
        <f>SUM(E68:E71)</f>
        <v>36036.35999999999</v>
      </c>
      <c r="F72" s="159" t="n">
        <f>SUM(F68:F71)</f>
        <v>40360.770000000004</v>
      </c>
      <c r="G72" s="103"/>
      <c r="H72" s="103"/>
      <c r="I72" s="103"/>
      <c r="J72" s="104"/>
    </row>
    <row r="73" ht="21" customHeight="1">
      <c r="A73" s="92" t="s">
        <v>53</v>
      </c>
      <c r="B73" s="93"/>
      <c r="C73" s="93"/>
      <c r="D73" s="93"/>
      <c r="E73" s="93"/>
      <c r="F73" s="93"/>
      <c r="G73" s="93"/>
      <c r="H73" s="103"/>
      <c r="I73" s="103"/>
      <c r="J73" s="104"/>
    </row>
    <row r="74" ht="21" customHeight="1">
      <c r="A74" s="102" t="s">
        <v>54</v>
      </c>
      <c r="B74" s="106" t="n">
        <f>B41*$I$25</f>
        <v>7125</v>
      </c>
      <c r="C74" s="106" t="n">
        <f>C41*$I$25</f>
        <v>7980</v>
      </c>
      <c r="D74" s="106" t="n">
        <f>D41*$I$25</f>
        <v>8937.6</v>
      </c>
      <c r="E74" s="106" t="n">
        <f>E41*$I$25</f>
        <v>10010.099999999999</v>
      </c>
      <c r="F74" s="106" t="n">
        <f>F41*$I$25</f>
        <v>11211.325000000003</v>
      </c>
      <c r="G74" s="103"/>
      <c r="H74" s="103"/>
      <c r="I74" s="103"/>
      <c r="J74" s="104"/>
    </row>
    <row r="75" ht="21" customHeight="1">
      <c r="A75" s="102" t="s">
        <v>55</v>
      </c>
      <c r="B75" s="106" t="n">
        <f>B41*$I$26</f>
        <v>2850</v>
      </c>
      <c r="C75" s="106" t="n">
        <f>C41*$I$26</f>
        <v>3192</v>
      </c>
      <c r="D75" s="106" t="n">
        <f>D41*$I$26</f>
        <v>3575.04</v>
      </c>
      <c r="E75" s="106" t="n">
        <f>E41*$I$26</f>
        <v>4004.0399999999995</v>
      </c>
      <c r="F75" s="106" t="n">
        <f>F41*$I$26</f>
        <v>4484.530000000001</v>
      </c>
      <c r="G75" s="103"/>
      <c r="H75" s="103"/>
      <c r="I75" s="103"/>
      <c r="J75" s="104"/>
    </row>
    <row r="76" ht="21" customHeight="1">
      <c r="A76" s="102" t="s">
        <v>56</v>
      </c>
      <c r="B76" s="106" t="n">
        <f>B41*$I$27</f>
        <v>1425</v>
      </c>
      <c r="C76" s="106" t="n">
        <f>C41*$I$27</f>
        <v>1596</v>
      </c>
      <c r="D76" s="106" t="n">
        <f>D41*$I$27</f>
        <v>1787.52</v>
      </c>
      <c r="E76" s="106" t="n">
        <f>E41*$I$27</f>
        <v>2002.0199999999998</v>
      </c>
      <c r="F76" s="106" t="n">
        <f>F41*$I$27</f>
        <v>2242.2650000000003</v>
      </c>
      <c r="G76" s="103"/>
      <c r="H76" s="103"/>
      <c r="I76" s="103"/>
      <c r="J76" s="104"/>
    </row>
    <row r="77" ht="23" customHeight="1">
      <c r="A77" s="158" t="s">
        <v>57</v>
      </c>
      <c r="B77" s="159" t="n">
        <f>SUM(B74:B76)</f>
        <v>11400</v>
      </c>
      <c r="C77" s="159" t="n">
        <f>SUM(C74:C76)</f>
        <v>12768</v>
      </c>
      <c r="D77" s="159" t="n">
        <f>SUM(D74:D76)</f>
        <v>14300.16</v>
      </c>
      <c r="E77" s="159" t="n">
        <f>SUM(E74:E76)</f>
        <v>16016.159999999998</v>
      </c>
      <c r="F77" s="159" t="n">
        <f>SUM(F74:F76)</f>
        <v>17938.120000000003</v>
      </c>
      <c r="G77" s="103"/>
      <c r="H77" s="103"/>
      <c r="I77" s="103"/>
      <c r="J77" s="104"/>
    </row>
    <row r="78" ht="21" customHeight="1">
      <c r="A78" s="92" t="s">
        <v>58</v>
      </c>
      <c r="B78" s="93"/>
      <c r="C78" s="93"/>
      <c r="D78" s="93"/>
      <c r="E78" s="93"/>
      <c r="F78" s="93"/>
      <c r="G78" s="93"/>
      <c r="H78" s="103"/>
      <c r="I78" s="103"/>
      <c r="J78" s="104"/>
    </row>
    <row r="79" ht="21" customHeight="1">
      <c r="A79" s="102" t="s">
        <v>59</v>
      </c>
      <c r="B79" s="106" t="n">
        <f>B41*$I$28</f>
        <v>5700</v>
      </c>
      <c r="C79" s="106" t="n">
        <f>C41*$I$28</f>
        <v>6384</v>
      </c>
      <c r="D79" s="106" t="n">
        <f>D41*$I$28</f>
        <v>7150.08</v>
      </c>
      <c r="E79" s="106" t="n">
        <f>E41*$I$28</f>
        <v>8008.079999999999</v>
      </c>
      <c r="F79" s="106" t="n">
        <f>F41*$I$28</f>
        <v>8969.060000000001</v>
      </c>
      <c r="G79" s="103"/>
      <c r="H79" s="103"/>
      <c r="I79" s="103"/>
      <c r="J79" s="104"/>
    </row>
    <row r="80" ht="21" customHeight="1">
      <c r="A80" s="102" t="s">
        <v>60</v>
      </c>
      <c r="B80" s="106" t="n">
        <f>B41*$I$29</f>
        <v>4275</v>
      </c>
      <c r="C80" s="106" t="n">
        <f>C41*$I$29</f>
        <v>4788</v>
      </c>
      <c r="D80" s="106" t="n">
        <f>D41*$I$29</f>
        <v>5362.5599999999995</v>
      </c>
      <c r="E80" s="106" t="n">
        <f>E41*$I$29</f>
        <v>6006.059999999999</v>
      </c>
      <c r="F80" s="106" t="n">
        <f>F41*$I$29</f>
        <v>6726.795000000001</v>
      </c>
      <c r="G80" s="103"/>
      <c r="H80" s="103"/>
      <c r="I80" s="103"/>
      <c r="J80" s="104"/>
    </row>
    <row r="81" ht="21" customHeight="1">
      <c r="A81" s="102" t="s">
        <v>61</v>
      </c>
      <c r="B81" s="106" t="n">
        <f>B41*$I$30</f>
        <v>2850</v>
      </c>
      <c r="C81" s="106" t="n">
        <f>C41*$I$30</f>
        <v>3192</v>
      </c>
      <c r="D81" s="106" t="n">
        <f>D41*$I$30</f>
        <v>3575.04</v>
      </c>
      <c r="E81" s="106" t="n">
        <f>E41*$I$30</f>
        <v>4004.0399999999995</v>
      </c>
      <c r="F81" s="106" t="n">
        <f>F41*$I$30</f>
        <v>4484.530000000001</v>
      </c>
      <c r="G81" s="103"/>
      <c r="H81" s="103"/>
      <c r="I81" s="103"/>
      <c r="J81" s="104"/>
    </row>
    <row r="82" ht="21" customHeight="1">
      <c r="A82" s="102" t="s">
        <v>62</v>
      </c>
      <c r="B82" s="106" t="n">
        <f>B41*$I$31</f>
        <v>2280</v>
      </c>
      <c r="C82" s="106" t="n">
        <f>C41*$I$31</f>
        <v>2553.6</v>
      </c>
      <c r="D82" s="106" t="n">
        <f>D41*$I$31</f>
        <v>2860.032</v>
      </c>
      <c r="E82" s="106" t="n">
        <f>E41*$I$31</f>
        <v>3203.2319999999995</v>
      </c>
      <c r="F82" s="106" t="n">
        <f>F41*$I$31</f>
        <v>3587.6240000000007</v>
      </c>
      <c r="G82" s="103"/>
      <c r="H82" s="103"/>
      <c r="I82" s="103"/>
      <c r="J82" s="104"/>
    </row>
    <row r="83" ht="21" customHeight="1">
      <c r="A83" s="102" t="s">
        <v>63</v>
      </c>
      <c r="B83" s="106" t="n">
        <f>B41*$I$32</f>
        <v>1425</v>
      </c>
      <c r="C83" s="106" t="n">
        <f>C41*$I$32</f>
        <v>1596</v>
      </c>
      <c r="D83" s="106" t="n">
        <f>D41*$I$32</f>
        <v>1787.52</v>
      </c>
      <c r="E83" s="106" t="n">
        <f>E41*$I$32</f>
        <v>2002.0199999999998</v>
      </c>
      <c r="F83" s="106" t="n">
        <f>F41*$I$32</f>
        <v>2242.2650000000003</v>
      </c>
      <c r="G83" s="103"/>
      <c r="H83" s="103"/>
      <c r="I83" s="103"/>
      <c r="J83" s="104"/>
    </row>
    <row r="84" ht="21" customHeight="1">
      <c r="A84" s="102" t="s">
        <v>64</v>
      </c>
      <c r="B84" s="106" t="n">
        <f>B41*$I$33</f>
        <v>570</v>
      </c>
      <c r="C84" s="106" t="n">
        <f>C41*$I$33</f>
        <v>638.4</v>
      </c>
      <c r="D84" s="106" t="n">
        <f>D41*$I$33</f>
        <v>715.008</v>
      </c>
      <c r="E84" s="106" t="n">
        <f>E41*$I$33</f>
        <v>800.8079999999999</v>
      </c>
      <c r="F84" s="106" t="n">
        <f>F41*$I$33</f>
        <v>896.9060000000002</v>
      </c>
      <c r="G84" s="103"/>
      <c r="H84" s="103"/>
      <c r="I84" s="103"/>
      <c r="J84" s="104"/>
    </row>
    <row r="85" ht="23" customHeight="1">
      <c r="A85" s="158" t="s">
        <v>65</v>
      </c>
      <c r="B85" s="159" t="n">
        <f>SUM(B79:B84)</f>
        <v>17100</v>
      </c>
      <c r="C85" s="159" t="n">
        <f>SUM(C79:C84)</f>
        <v>19152</v>
      </c>
      <c r="D85" s="159" t="n">
        <f>SUM(D79:D84)</f>
        <v>21450.24</v>
      </c>
      <c r="E85" s="159" t="n">
        <f>SUM(E79:E84)</f>
        <v>24024.239999999998</v>
      </c>
      <c r="F85" s="159" t="n">
        <f>SUM(F79:F84)</f>
        <v>26907.18</v>
      </c>
      <c r="G85" s="103"/>
      <c r="H85" s="103"/>
      <c r="I85" s="103"/>
      <c r="J85" s="104"/>
    </row>
    <row r="86" ht="23" customHeight="1">
      <c r="A86" s="158" t="s">
        <v>66</v>
      </c>
      <c r="B86" s="159" t="n">
        <f>B72+B77+B85</f>
        <v>54150</v>
      </c>
      <c r="C86" s="159" t="n">
        <f>C72+C77+C85</f>
        <v>60648</v>
      </c>
      <c r="D86" s="159" t="n">
        <f>D72+D77+D85</f>
        <v>67925.76000000001</v>
      </c>
      <c r="E86" s="159" t="n">
        <f>E72+E77+E85</f>
        <v>76076.75999999998</v>
      </c>
      <c r="F86" s="159" t="n">
        <f>F72+F77+F85</f>
        <v>85206.07</v>
      </c>
      <c r="G86" s="103"/>
      <c r="H86" s="103"/>
      <c r="I86" s="103"/>
      <c r="J86" s="104"/>
    </row>
    <row r="87" ht="21" customHeight="1">
      <c r="A87" s="102" t="str">
        <v>Depreciation expense</v>
      </c>
      <c r="B87" s="163" t="n">
        <v>14960</v>
      </c>
      <c r="C87" s="166" t="n">
        <f>MIN('Balance Sheet'!B32,'Balance Sheet'!B30*$I$37)</f>
        <v>14960</v>
      </c>
      <c r="D87" s="166" t="n">
        <f>MIN('Balance Sheet'!C32,'Balance Sheet'!C30*$I$37)</f>
        <v>16080</v>
      </c>
      <c r="E87" s="166" t="n">
        <f>MIN('Balance Sheet'!D32,'Balance Sheet'!D30*$I$37)</f>
        <v>17200</v>
      </c>
      <c r="F87" s="166" t="n">
        <f>MIN('Balance Sheet'!E32,'Balance Sheet'!E30*$I$37)</f>
        <v>18424</v>
      </c>
      <c r="G87" s="103"/>
      <c r="H87" s="103"/>
      <c r="I87" s="103"/>
      <c r="J87" s="104"/>
    </row>
    <row r="88" ht="23" customHeight="1">
      <c r="A88" s="158" t="s">
        <v>67</v>
      </c>
      <c r="B88" s="159" t="n">
        <f>B63-B86-B87</f>
        <v>20152</v>
      </c>
      <c r="C88" s="159" t="n">
        <f>C63-C86-C87</f>
        <v>24365.440000000002</v>
      </c>
      <c r="D88" s="159" t="n">
        <f>D63-D86-D87</f>
        <v>27964.492800000007</v>
      </c>
      <c r="E88" s="159" t="n">
        <f>E63-E86-E87</f>
        <v>32129.772800000006</v>
      </c>
      <c r="F88" s="159" t="n">
        <f>F63-F86-F87</f>
        <v>36825.40960000007</v>
      </c>
      <c r="G88" s="103"/>
      <c r="H88" s="103"/>
      <c r="I88" s="103"/>
      <c r="J88" s="104"/>
    </row>
    <row r="89" ht="21" customHeight="1">
      <c r="A89" s="172" t="s">
        <v>68</v>
      </c>
      <c r="B89" s="174" t="n">
        <f>IF(B41=0,"n.a.",B88/B41)</f>
        <v>0.07070877192982457</v>
      </c>
      <c r="C89" s="174" t="n">
        <f>IF(C41=0,"n.a.",C88/C41)</f>
        <v>0.0763328320802005</v>
      </c>
      <c r="D89" s="174" t="n">
        <f>IF(D41=0,"n.a.",D88/D41)</f>
        <v>0.07822148227712139</v>
      </c>
      <c r="E89" s="174" t="n">
        <f>IF(E41=0,"n.a.",E88/E41)</f>
        <v>0.08024338617995827</v>
      </c>
      <c r="F89" s="174" t="n">
        <f>IF(F41=0,"n.a.",F88/F41)</f>
        <v>0.08211654197875824</v>
      </c>
      <c r="G89" s="103"/>
      <c r="H89" s="103"/>
      <c r="I89" s="103"/>
      <c r="J89" s="104"/>
    </row>
    <row r="90" ht="21" customHeight="1">
      <c r="A90" s="102"/>
      <c r="B90" s="103"/>
      <c r="C90" s="103"/>
      <c r="D90" s="103"/>
      <c r="E90" s="103"/>
      <c r="F90" s="103"/>
      <c r="G90" s="103"/>
      <c r="H90" s="103"/>
      <c r="I90" s="103"/>
      <c r="J90" s="104"/>
    </row>
    <row r="91" ht="24" customHeight="1">
      <c r="A91" s="150" t="s">
        <v>69</v>
      </c>
      <c r="B91" s="151"/>
      <c r="C91" s="151"/>
      <c r="D91" s="151"/>
      <c r="E91" s="151"/>
      <c r="F91" s="151"/>
      <c r="G91" s="93"/>
      <c r="H91" s="103"/>
      <c r="I91" s="103"/>
      <c r="J91" s="104"/>
    </row>
    <row r="92" ht="21" customHeight="1">
      <c r="A92" s="102" t="s">
        <v>70</v>
      </c>
      <c r="B92" s="165">
        <v>-6400</v>
      </c>
      <c r="C92" s="167" t="n">
        <f>-SUM('Balance Sheet'!B41,'Balance Sheet'!B44,'Balance Sheet'!C41,'Balance Sheet'!C44)/2*'Balance Sheet'!$I$8</f>
        <v>-6144</v>
      </c>
      <c r="D92" s="167" t="n">
        <f>-SUM('Balance Sheet'!C41,'Balance Sheet'!C44,'Balance Sheet'!D41,'Balance Sheet'!D44)/2*'Balance Sheet'!$I$8</f>
        <v>-5632</v>
      </c>
      <c r="E92" s="167" t="n">
        <f>-SUM('Balance Sheet'!D41,'Balance Sheet'!D44,'Balance Sheet'!E41,'Balance Sheet'!E44)/2*'Balance Sheet'!$I$8</f>
        <v>-5120</v>
      </c>
      <c r="F92" s="167" t="n">
        <f>-SUM('Balance Sheet'!E41,'Balance Sheet'!E44,'Balance Sheet'!F41,'Balance Sheet'!F44)/2*'Balance Sheet'!$I$8</f>
        <v>-4608</v>
      </c>
      <c r="G92" s="103"/>
      <c r="H92" s="103"/>
      <c r="I92" s="103"/>
      <c r="J92" s="104"/>
    </row>
    <row r="93" ht="21" customHeight="1">
      <c r="A93" s="102" t="s">
        <v>71</v>
      </c>
      <c r="B93" s="165">
        <v>280</v>
      </c>
      <c r="C93" s="165">
        <v>280</v>
      </c>
      <c r="D93" s="165">
        <v>280</v>
      </c>
      <c r="E93" s="165">
        <v>280</v>
      </c>
      <c r="F93" s="165">
        <v>280</v>
      </c>
      <c r="G93" s="103"/>
      <c r="H93" s="103"/>
      <c r="I93" s="103"/>
      <c r="J93" s="104"/>
    </row>
    <row r="94" ht="21" customHeight="1">
      <c r="A94" s="102" t="s">
        <v>72</v>
      </c>
      <c r="B94" s="165">
        <v>-140</v>
      </c>
      <c r="C94" s="165">
        <v>-140</v>
      </c>
      <c r="D94" s="165">
        <v>-140</v>
      </c>
      <c r="E94" s="165">
        <v>-140</v>
      </c>
      <c r="F94" s="165">
        <v>-140</v>
      </c>
      <c r="G94" s="103"/>
      <c r="H94" s="103"/>
      <c r="I94" s="103"/>
      <c r="J94" s="104"/>
    </row>
    <row r="95" ht="23" customHeight="1">
      <c r="A95" s="158" t="s">
        <v>73</v>
      </c>
      <c r="B95" s="159" t="n">
        <f>SUM(B92:B94)</f>
        <v>-6260</v>
      </c>
      <c r="C95" s="159" t="n">
        <f>SUM(C92:C94)</f>
        <v>-6004</v>
      </c>
      <c r="D95" s="159" t="n">
        <f>SUM(D92:D94)</f>
        <v>-5492</v>
      </c>
      <c r="E95" s="159" t="n">
        <f>SUM(E92:E94)</f>
        <v>-4980</v>
      </c>
      <c r="F95" s="159" t="n">
        <f>SUM(F92:F94)</f>
        <v>-4468</v>
      </c>
      <c r="G95" s="103"/>
      <c r="H95" s="103"/>
      <c r="I95" s="103"/>
      <c r="J95" s="104"/>
    </row>
    <row r="96" ht="21" customHeight="1">
      <c r="A96" s="102"/>
      <c r="B96" s="103"/>
      <c r="C96" s="103"/>
      <c r="D96" s="103"/>
      <c r="E96" s="103"/>
      <c r="F96" s="103"/>
      <c r="G96" s="103"/>
      <c r="H96" s="103"/>
      <c r="I96" s="103"/>
      <c r="J96" s="104"/>
    </row>
    <row r="97" ht="23" customHeight="1">
      <c r="A97" s="158" t="s">
        <v>74</v>
      </c>
      <c r="B97" s="159" t="n">
        <f>B88+B95</f>
        <v>13892</v>
      </c>
      <c r="C97" s="159" t="n">
        <f>C88+C95</f>
        <v>18361.440000000002</v>
      </c>
      <c r="D97" s="159" t="n">
        <f>D88+D95</f>
        <v>22472.492800000007</v>
      </c>
      <c r="E97" s="159" t="n">
        <f>E88+E95</f>
        <v>27149.772800000006</v>
      </c>
      <c r="F97" s="159" t="n">
        <f>F88+F95</f>
        <v>32357.40960000007</v>
      </c>
      <c r="G97" s="103"/>
      <c r="H97" s="103"/>
      <c r="I97" s="103"/>
      <c r="J97" s="104"/>
    </row>
    <row r="98" ht="21" customHeight="1">
      <c r="A98" s="102" t="s">
        <v>75</v>
      </c>
      <c r="B98" s="106" t="n">
        <f>MAX(0,B97)*$I$36</f>
        <v>3195.1600000000003</v>
      </c>
      <c r="C98" s="106" t="n">
        <f>MAX(0,C97)*$I$36</f>
        <v>4223.131200000001</v>
      </c>
      <c r="D98" s="106" t="n">
        <f>MAX(0,D97)*$I$36</f>
        <v>5168.673344000002</v>
      </c>
      <c r="E98" s="106" t="n">
        <f>MAX(0,E97)*$I$36</f>
        <v>6244.447744000002</v>
      </c>
      <c r="F98" s="106" t="n">
        <f>MAX(0,F97)*$I$36</f>
        <v>7442.2042080000165</v>
      </c>
      <c r="G98" s="103"/>
      <c r="H98" s="103"/>
      <c r="I98" s="103"/>
      <c r="J98" s="104"/>
    </row>
    <row r="99" ht="21" customHeight="1">
      <c r="A99" s="172" t="s">
        <v>76</v>
      </c>
      <c r="B99" s="174" t="n">
        <f>IF(B97=0,"n.a.",B98/B97)</f>
        <v>0.23</v>
      </c>
      <c r="C99" s="174" t="n">
        <f>IF(C97=0,"n.a.",C98/C97)</f>
        <v>0.23</v>
      </c>
      <c r="D99" s="174" t="n">
        <f>IF(D97=0,"n.a.",D98/D97)</f>
        <v>0.23</v>
      </c>
      <c r="E99" s="174" t="n">
        <f>IF(E97=0,"n.a.",E98/E97)</f>
        <v>0.23</v>
      </c>
      <c r="F99" s="174" t="n">
        <f>IF(F97=0,"n.a.",F98/F97)</f>
        <v>0.23</v>
      </c>
      <c r="G99" s="103"/>
      <c r="H99" s="103"/>
      <c r="I99" s="103"/>
      <c r="J99" s="104"/>
    </row>
    <row r="100" ht="21" customHeight="1">
      <c r="A100" s="102"/>
      <c r="B100" s="103"/>
      <c r="C100" s="103"/>
      <c r="D100" s="103"/>
      <c r="E100" s="103"/>
      <c r="F100" s="103"/>
      <c r="G100" s="103"/>
      <c r="H100" s="103"/>
      <c r="I100" s="103"/>
      <c r="J100" s="104"/>
    </row>
    <row r="101" ht="23" customHeight="1">
      <c r="A101" s="158" t="s">
        <v>77</v>
      </c>
      <c r="B101" s="175" t="n">
        <f>B97-B98</f>
        <v>10696.84</v>
      </c>
      <c r="C101" s="175" t="n">
        <f>C97-C98</f>
        <v>14138.308800000003</v>
      </c>
      <c r="D101" s="175" t="n">
        <f>D97-D98</f>
        <v>17303.819456000005</v>
      </c>
      <c r="E101" s="175" t="n">
        <f>E97-E98</f>
        <v>20905.325056000005</v>
      </c>
      <c r="F101" s="175" t="n">
        <f>F97-F98</f>
        <v>24915.205392000054</v>
      </c>
      <c r="G101" s="103"/>
      <c r="H101" s="103"/>
      <c r="I101" s="103"/>
      <c r="J101" s="104"/>
    </row>
    <row r="102" ht="21" customHeight="1">
      <c r="A102" s="172" t="s">
        <v>78</v>
      </c>
      <c r="B102" s="174" t="n">
        <f>IF(B41=0,"n.a.",B101/B41)</f>
        <v>0.037532771929824564</v>
      </c>
      <c r="C102" s="174" t="n">
        <f>IF(C41=0,"n.a.",C101/C41)</f>
        <v>0.044292947368421064</v>
      </c>
      <c r="D102" s="174" t="n">
        <f>IF(D41=0,"n.a.",D101/D41)</f>
        <v>0.04840175062656643</v>
      </c>
      <c r="E102" s="174" t="n">
        <f>IF(E41=0,"n.a.",E101/E41)</f>
        <v>0.05221057995424623</v>
      </c>
      <c r="F102" s="174" t="n">
        <f>IF(F41=0,"n.a.",F101/F41)</f>
        <v>0.05555811956213929</v>
      </c>
      <c r="G102" s="103"/>
      <c r="H102" s="103"/>
      <c r="I102" s="103"/>
      <c r="J102" s="104"/>
    </row>
    <row r="103" ht="21" customHeight="1">
      <c r="A103" s="102"/>
      <c r="B103" s="103"/>
      <c r="C103" s="103"/>
      <c r="D103" s="103"/>
      <c r="E103" s="103"/>
      <c r="F103" s="103"/>
      <c r="G103" s="103"/>
      <c r="H103" s="103"/>
      <c r="I103" s="103"/>
      <c r="J103" s="104"/>
    </row>
    <row r="104" ht="21" customHeight="1">
      <c r="A104" s="109"/>
      <c r="B104" s="110"/>
      <c r="C104" s="110"/>
      <c r="D104" s="110"/>
      <c r="E104" s="110"/>
      <c r="F104" s="110"/>
      <c r="G104" s="110"/>
      <c r="H104" s="110"/>
      <c r="I104" s="110"/>
      <c r="J104" s="111"/>
    </row>
  </sheetData>
  <mergeCells>
    <mergeCell ref="A1:F1"/>
    <mergeCell ref="H6:I6"/>
    <mergeCell ref="H39:I40"/>
    <mergeCell ref="H42:I44"/>
  </mergeCells>
  <hyperlinks>
    <hyperlink ref="H47" r:id="rIdFinanceContact0" tooltip="Discuss your model with Zach"/>
  </hyperlinks>
  <printOptions horizontalCentered="1" gridLines="0" headings="0"/>
  <pageMargins left="0.3" right="0.3" top="0.4" bottom="0.4" header="0.15" footer="0.2"/>
  <pageSetup paperSize="1" orientation="landscape" fitToWidth="1" fitToHeight="0"/>
  <headerFooter>
    <oddFooter>&amp;LZachary Vorsteg | Illustrative model&amp;RPage &amp;P of &amp;N</oddFooter>
  </headerFooter>
</worksheet>
</file>

<file path=xl/worksheets/sheet2.xml><?xml version="1.0" encoding="utf-8"?>
<worksheet xmlns="http://schemas.openxmlformats.org/spreadsheetml/2006/main">
  <sheetPr>
    <tabColor rgb="FF19312D"/>
    <pageSetUpPr fitToPage="1"/>
  </sheetPr>
  <sheetViews>
    <sheetView showGridLines="0" workbookViewId="0">
      <pane xSplit="1" ySplit="6" topLeftCell="B7" activePane="bottomRight" state="frozen"/>
    </sheetView>
  </sheetViews>
  <sheetFormatPr baseColWidth="10" defaultColWidth="8.6640625" defaultRowHeight="15"/>
  <cols>
    <col min="1" max="1" width="43" hidden="0" customWidth="1"/>
    <col min="2" max="6" width="16" customWidth="1"/>
    <col min="2" max="2" width="14" hidden="0" customWidth="1"/>
    <col min="3" max="3" width="14" hidden="0" customWidth="1"/>
    <col min="4" max="4" width="14" hidden="0" customWidth="1"/>
    <col min="5" max="5" width="14" hidden="0" customWidth="1"/>
    <col min="6" max="6" width="14" hidden="0" customWidth="1"/>
    <col min="7" max="7" width="3" hidden="0" customWidth="1"/>
    <col min="8" max="8" width="44" hidden="0" customWidth="1"/>
    <col min="9" max="9" width="15" hidden="0" customWidth="1"/>
    <col min="10" max="10" width="3" hidden="0" customWidth="1"/>
  </cols>
  <sheetData>
    <row r="1" ht="32" customHeight="1">
      <c r="A1" s="119" t="str">
        <v>Balance Sheet</v>
      </c>
      <c r="B1" s="120"/>
      <c r="C1" s="120"/>
      <c r="D1" s="120"/>
      <c r="E1" s="120"/>
      <c r="F1" s="120"/>
      <c r="G1" s="120"/>
      <c r="H1" s="120"/>
      <c r="I1" s="120"/>
      <c r="J1" s="120"/>
    </row>
    <row r="2" ht="24" customHeight="1">
      <c r="A2" s="124" t="str">
        <v>Zachary Vorsteg. Illustrative industrial company. USD thousands. Blue cells are editable.</v>
      </c>
      <c r="B2" s="125"/>
      <c r="C2" s="125"/>
      <c r="D2" s="125"/>
      <c r="E2" s="125"/>
      <c r="F2" s="125"/>
      <c r="G2" s="125"/>
      <c r="H2" s="125"/>
      <c r="I2" s="125"/>
      <c r="J2" s="126"/>
    </row>
    <row r="3" ht="24" customHeight="1">
      <c r="A3" s="121" t="str">
        <v>2023 reference balances; four illustrative forecast years. See assumptions at right.</v>
      </c>
      <c r="B3" s="122"/>
      <c r="C3" s="122"/>
      <c r="D3" s="122"/>
      <c r="E3" s="122"/>
      <c r="F3" s="122"/>
      <c r="G3" s="103"/>
      <c r="H3" s="103"/>
      <c r="I3" s="103"/>
      <c r="J3" s="104"/>
    </row>
    <row r="4" ht="21" customHeight="1">
      <c r="A4" s="102"/>
      <c r="B4" s="103"/>
      <c r="C4" s="103"/>
      <c r="D4" s="103"/>
      <c r="E4" s="103"/>
      <c r="F4" s="103"/>
      <c r="G4" s="103"/>
      <c r="H4" s="103"/>
      <c r="I4" s="103"/>
      <c r="J4" s="104"/>
    </row>
    <row r="5" ht="25" customHeight="1">
      <c r="A5" s="102"/>
      <c r="B5" s="129" t="s">
        <v>0</v>
      </c>
      <c r="C5" s="129" t="s">
        <v>1</v>
      </c>
      <c r="D5" s="129" t="s">
        <v>2</v>
      </c>
      <c r="E5" s="129" t="s">
        <v>3</v>
      </c>
      <c r="F5" s="129" t="s">
        <v>4</v>
      </c>
      <c r="G5" s="103"/>
      <c r="H5" s="142" t="str">
        <v>Balance-sheet assumptions</v>
      </c>
      <c r="I5" s="142"/>
      <c r="J5" s="104"/>
    </row>
    <row r="6" ht="19" customHeight="1">
      <c r="A6" s="102"/>
      <c r="B6" s="130" t="str">
        <v>Reference</v>
      </c>
      <c r="C6" s="130" t="str">
        <v>Forecast</v>
      </c>
      <c r="D6" s="130" t="str">
        <v>Forecast</v>
      </c>
      <c r="E6" s="130" t="str">
        <v>Forecast</v>
      </c>
      <c r="F6" s="130" t="str">
        <v>Forecast</v>
      </c>
      <c r="G6" s="103"/>
      <c r="H6" s="103"/>
      <c r="I6" s="103"/>
      <c r="J6" s="104"/>
    </row>
    <row r="7" ht="24" customHeight="1">
      <c r="A7" s="153" t="s">
        <v>79</v>
      </c>
      <c r="B7" s="128"/>
      <c r="C7" s="128"/>
      <c r="D7" s="128"/>
      <c r="E7" s="128"/>
      <c r="F7" s="128"/>
      <c r="G7" s="105"/>
      <c r="H7" s="103"/>
      <c r="I7" s="103"/>
      <c r="J7" s="104"/>
    </row>
    <row r="8" ht="21" customHeight="1">
      <c r="A8" s="92" t="s">
        <v>80</v>
      </c>
      <c r="B8" s="93"/>
      <c r="C8" s="93"/>
      <c r="D8" s="93"/>
      <c r="E8" s="93"/>
      <c r="F8" s="93"/>
      <c r="G8" s="93"/>
      <c r="H8" s="103" t="str">
        <v>Debt interest rate</v>
      </c>
      <c r="I8" s="170" t="n">
        <v>0.064</v>
      </c>
      <c r="J8" s="104"/>
    </row>
    <row r="9" ht="21" customHeight="1">
      <c r="A9" s="102" t="s">
        <v>81</v>
      </c>
      <c r="B9" s="165">
        <v>28500</v>
      </c>
      <c r="C9" s="167" t="n">
        <f>'Cash Flow'!C37</f>
        <v>20347.297600000013</v>
      </c>
      <c r="D9" s="167" t="n">
        <f>'Cash Flow'!D37</f>
        <v>14649.984511999985</v>
      </c>
      <c r="E9" s="167" t="n">
        <f>'Cash Flow'!E37</f>
        <v>10324.655168000012</v>
      </c>
      <c r="F9" s="167" t="n">
        <f>'Cash Flow'!F37</f>
        <v>8437.081696000056</v>
      </c>
      <c r="G9" s="103"/>
      <c r="H9" s="103" t="str">
        <v>Annual dividends (USD thousands)</v>
      </c>
      <c r="I9" s="163" t="n">
        <v>0</v>
      </c>
      <c r="J9" s="104"/>
    </row>
    <row r="10" ht="21" customHeight="1">
      <c r="A10" s="102" t="s">
        <v>82</v>
      </c>
      <c r="B10" s="165">
        <v>8000</v>
      </c>
      <c r="C10" s="165" t="n">
        <v>8000</v>
      </c>
      <c r="D10" s="165">
        <v>8000</v>
      </c>
      <c r="E10" s="165">
        <v>8000</v>
      </c>
      <c r="F10" s="165">
        <v>8000</v>
      </c>
      <c r="G10" s="103"/>
      <c r="H10" s="103"/>
      <c r="I10" s="103"/>
      <c r="J10" s="104"/>
    </row>
    <row r="11" ht="21" customHeight="1">
      <c r="A11" s="92" t="s">
        <v>83</v>
      </c>
      <c r="B11" s="93"/>
      <c r="C11" s="93"/>
      <c r="D11" s="93"/>
      <c r="E11" s="93"/>
      <c r="F11" s="93"/>
      <c r="G11" s="93"/>
      <c r="H11" s="103"/>
      <c r="I11" s="103"/>
      <c r="J11" s="104"/>
    </row>
    <row r="12" ht="21" customHeight="1">
      <c r="A12" s="102" t="s">
        <v>84</v>
      </c>
      <c r="B12" s="167" t="n">
        <f>'Income Statement'!B32*$I$12</f>
        <v>32832</v>
      </c>
      <c r="C12" s="167" t="n">
        <f>'Income Statement'!C32*$I$12</f>
        <v>36771.840000000004</v>
      </c>
      <c r="D12" s="167" t="n">
        <f>'Income Statement'!D32*$I$12</f>
        <v>41184.4608</v>
      </c>
      <c r="E12" s="167" t="n">
        <f>'Income Statement'!E32*$I$12</f>
        <v>46126.540799999995</v>
      </c>
      <c r="F12" s="167" t="n">
        <f>'Income Statement'!F32*$I$12</f>
        <v>51661.7856</v>
      </c>
      <c r="G12" s="103"/>
      <c r="H12" s="103" t="str">
        <v>Equipment receivables / sales</v>
      </c>
      <c r="I12" s="170" t="n">
        <v>0.16</v>
      </c>
      <c r="J12" s="104"/>
    </row>
    <row r="13" ht="21" customHeight="1">
      <c r="A13" s="102" t="s">
        <v>85</v>
      </c>
      <c r="B13" s="167" t="n">
        <f>'Income Statement'!B39*$I$13</f>
        <v>9576</v>
      </c>
      <c r="C13" s="167" t="n">
        <f>'Income Statement'!C39*$I$13</f>
        <v>10725.119999999999</v>
      </c>
      <c r="D13" s="167" t="n">
        <f>'Income Statement'!D39*$I$13</f>
        <v>12012.134399999999</v>
      </c>
      <c r="E13" s="167" t="n">
        <f>'Income Statement'!E39*$I$13</f>
        <v>13453.5744</v>
      </c>
      <c r="F13" s="167" t="n">
        <f>'Income Statement'!F39*$I$13</f>
        <v>15068.0208</v>
      </c>
      <c r="G13" s="103"/>
      <c r="H13" s="103" t="str">
        <v>Service receivables / sales</v>
      </c>
      <c r="I13" s="170" t="n">
        <v>0.12</v>
      </c>
      <c r="J13" s="104"/>
    </row>
    <row r="14" ht="21" customHeight="1">
      <c r="A14" s="102" t="s">
        <v>86</v>
      </c>
      <c r="B14" s="106" t="n">
        <f>-SUM(B12:B13)*$I$14</f>
        <v>-636.12</v>
      </c>
      <c r="C14" s="106" t="n">
        <f>-SUM(C12:C13)*$I$14</f>
        <v>-712.4544000000001</v>
      </c>
      <c r="D14" s="106" t="n">
        <f>-SUM(D12:D13)*$I$14</f>
        <v>-797.9489279999999</v>
      </c>
      <c r="E14" s="106" t="n">
        <f>-SUM(E12:E13)*$I$14</f>
        <v>-893.7017279999999</v>
      </c>
      <c r="F14" s="106" t="n">
        <f>-SUM(F12:F13)*$I$14</f>
        <v>-1000.947096</v>
      </c>
      <c r="G14" s="103"/>
      <c r="H14" s="103" t="str">
        <v>Receivable allowance</v>
      </c>
      <c r="I14" s="170" t="n">
        <v>0.015</v>
      </c>
      <c r="J14" s="104"/>
    </row>
    <row r="15" ht="23" customHeight="1">
      <c r="A15" s="158" t="s">
        <v>87</v>
      </c>
      <c r="B15" s="159" t="n">
        <f>SUM(B12:B14)</f>
        <v>41771.88</v>
      </c>
      <c r="C15" s="159" t="n">
        <f>SUM(C12:C14)</f>
        <v>46784.505600000004</v>
      </c>
      <c r="D15" s="159" t="n">
        <f>SUM(D12:D14)</f>
        <v>52398.646272</v>
      </c>
      <c r="E15" s="159" t="n">
        <f>SUM(E12:E14)</f>
        <v>58686.41347199999</v>
      </c>
      <c r="F15" s="159" t="n">
        <f>SUM(F12:F14)</f>
        <v>65728.859304</v>
      </c>
      <c r="G15" s="103"/>
      <c r="H15" s="103"/>
      <c r="I15" s="103"/>
      <c r="J15" s="104"/>
    </row>
    <row r="16" ht="21" customHeight="1">
      <c r="A16" s="92" t="s">
        <v>88</v>
      </c>
      <c r="B16" s="93"/>
      <c r="C16" s="93"/>
      <c r="D16" s="93"/>
      <c r="E16" s="93"/>
      <c r="F16" s="93"/>
      <c r="G16" s="93"/>
      <c r="H16" s="103"/>
      <c r="I16" s="103"/>
      <c r="J16" s="104"/>
    </row>
    <row r="17" ht="21" customHeight="1">
      <c r="A17" s="102" t="s">
        <v>89</v>
      </c>
      <c r="B17" s="167" t="n">
        <f>'Income Statement'!B54*$I$17</f>
        <v>42517.44</v>
      </c>
      <c r="C17" s="167" t="n">
        <f>'Income Statement'!C54*$I$17</f>
        <v>47619.5328</v>
      </c>
      <c r="D17" s="167" t="n">
        <f>'Income Statement'!D54*$I$17</f>
        <v>53333.876736000006</v>
      </c>
      <c r="E17" s="167" t="n">
        <f>'Income Statement'!E54*$I$17</f>
        <v>59733.87033599999</v>
      </c>
      <c r="F17" s="167" t="n">
        <f>'Income Statement'!F54*$I$17</f>
        <v>66902.012352</v>
      </c>
      <c r="G17" s="103"/>
      <c r="H17" s="103" t="str">
        <v>Raw materials / equipment COGS</v>
      </c>
      <c r="I17" s="170" t="n">
        <v>0.28</v>
      </c>
      <c r="J17" s="104"/>
    </row>
    <row r="18" ht="21" customHeight="1">
      <c r="A18" s="102" t="s">
        <v>90</v>
      </c>
      <c r="B18" s="167" t="n">
        <f>'Income Statement'!B54*$I$18</f>
        <v>22777.2</v>
      </c>
      <c r="C18" s="167" t="n">
        <f>'Income Statement'!C54*$I$18</f>
        <v>25510.463999999996</v>
      </c>
      <c r="D18" s="167" t="n">
        <f>'Income Statement'!D54*$I$18</f>
        <v>28571.71968</v>
      </c>
      <c r="E18" s="167" t="n">
        <f>'Income Statement'!E54*$I$18</f>
        <v>32000.28767999999</v>
      </c>
      <c r="F18" s="167" t="n">
        <f>'Income Statement'!F54*$I$18</f>
        <v>35840.36376</v>
      </c>
      <c r="G18" s="103"/>
      <c r="H18" s="103" t="str">
        <v>Work in process / equipment COGS</v>
      </c>
      <c r="I18" s="170" t="n">
        <v>0.15</v>
      </c>
      <c r="J18" s="104"/>
    </row>
    <row r="19" ht="21" customHeight="1">
      <c r="A19" s="102" t="s">
        <v>91</v>
      </c>
      <c r="B19" s="167" t="n">
        <f>'Income Statement'!B54*$I$19</f>
        <v>33406.56</v>
      </c>
      <c r="C19" s="167" t="n">
        <f>'Income Statement'!C54*$I$19</f>
        <v>37415.3472</v>
      </c>
      <c r="D19" s="167" t="n">
        <f>'Income Statement'!D54*$I$19</f>
        <v>41905.188864</v>
      </c>
      <c r="E19" s="167" t="n">
        <f>'Income Statement'!E54*$I$19</f>
        <v>46933.755263999985</v>
      </c>
      <c r="F19" s="167" t="n">
        <f>'Income Statement'!F54*$I$19</f>
        <v>52565.866848</v>
      </c>
      <c r="G19" s="103"/>
      <c r="H19" s="103" t="str">
        <v>Finished stock / equipment COGS</v>
      </c>
      <c r="I19" s="170" t="n">
        <v>0.22</v>
      </c>
      <c r="J19" s="104"/>
    </row>
    <row r="20" ht="21" customHeight="1">
      <c r="A20" s="102" t="s">
        <v>92</v>
      </c>
      <c r="B20" s="167" t="n">
        <f>'Income Statement'!B60*$I$20</f>
        <v>19750.5</v>
      </c>
      <c r="C20" s="167" t="n">
        <f>'Income Statement'!C60*$I$20</f>
        <v>22120.560000000005</v>
      </c>
      <c r="D20" s="167" t="n">
        <f>'Income Statement'!D60*$I$20</f>
        <v>24775.027199999997</v>
      </c>
      <c r="E20" s="167" t="n">
        <f>'Income Statement'!E60*$I$20</f>
        <v>27747.9972</v>
      </c>
      <c r="F20" s="167" t="n">
        <f>'Income Statement'!F60*$I$20</f>
        <v>31077.7929</v>
      </c>
      <c r="G20" s="103"/>
      <c r="H20" s="103" t="str">
        <v>Parts stock / service COGS</v>
      </c>
      <c r="I20" s="170" t="n">
        <v>0.45</v>
      </c>
      <c r="J20" s="104"/>
    </row>
    <row r="21" ht="23" customHeight="1">
      <c r="A21" s="158" t="s">
        <v>93</v>
      </c>
      <c r="B21" s="159" t="n">
        <f>SUM(B17:B20)</f>
        <v>118451.7</v>
      </c>
      <c r="C21" s="159" t="n">
        <f>SUM(C17:C20)</f>
        <v>132665.90399999998</v>
      </c>
      <c r="D21" s="159" t="n">
        <f>SUM(D17:D20)</f>
        <v>148585.81248000002</v>
      </c>
      <c r="E21" s="159" t="n">
        <f>SUM(E17:E20)</f>
        <v>166415.91048</v>
      </c>
      <c r="F21" s="159" t="n">
        <f>SUM(F17:F20)</f>
        <v>186386.03586</v>
      </c>
      <c r="G21" s="103"/>
      <c r="H21" s="103"/>
      <c r="I21" s="103"/>
      <c r="J21" s="104"/>
    </row>
    <row r="22" ht="21" customHeight="1">
      <c r="A22" s="102" t="s">
        <v>94</v>
      </c>
      <c r="B22" s="167" t="n">
        <f>'Income Statement'!B86*$I$22</f>
        <v>2707.5</v>
      </c>
      <c r="C22" s="167" t="n">
        <f>'Income Statement'!C86*$I$22</f>
        <v>3032.4</v>
      </c>
      <c r="D22" s="167" t="n">
        <f>'Income Statement'!D86*$I$22</f>
        <v>3396.2880000000005</v>
      </c>
      <c r="E22" s="167" t="n">
        <f>'Income Statement'!E86*$I$22</f>
        <v>3803.8379999999993</v>
      </c>
      <c r="F22" s="167" t="n">
        <f>'Income Statement'!F86*$I$22</f>
        <v>4260.303500000001</v>
      </c>
      <c r="G22" s="103"/>
      <c r="H22" s="103" t="str">
        <v>Prepaids / operating expenses</v>
      </c>
      <c r="I22" s="170" t="n">
        <v>0.05</v>
      </c>
      <c r="J22" s="104"/>
    </row>
    <row r="23" ht="23" customHeight="1">
      <c r="A23" s="158" t="s">
        <v>95</v>
      </c>
      <c r="B23" s="159" t="n">
        <f>B9+B10+B15+B21+B22</f>
        <v>199431.08000000002</v>
      </c>
      <c r="C23" s="159" t="n">
        <f>C9+C10+C15+C21+C22</f>
        <v>210830.1072</v>
      </c>
      <c r="D23" s="159" t="n">
        <f>D9+D10+D15+D21+D22</f>
        <v>227030.731264</v>
      </c>
      <c r="E23" s="159" t="n">
        <f>E9+E10+E15+E21+E22</f>
        <v>247230.81712</v>
      </c>
      <c r="F23" s="159" t="n">
        <f>F9+F10+F15+F21+F22</f>
        <v>272812.28036000003</v>
      </c>
      <c r="G23" s="103"/>
      <c r="H23" s="103"/>
      <c r="I23" s="103"/>
      <c r="J23" s="104"/>
    </row>
    <row r="24" ht="21" customHeight="1">
      <c r="A24" s="102"/>
      <c r="B24" s="103"/>
      <c r="C24" s="103"/>
      <c r="D24" s="103"/>
      <c r="E24" s="103"/>
      <c r="F24" s="103"/>
      <c r="G24" s="103"/>
      <c r="H24" s="103"/>
      <c r="I24" s="103"/>
      <c r="J24" s="104"/>
    </row>
    <row r="25" ht="21" customHeight="1">
      <c r="A25" s="92" t="s">
        <v>96</v>
      </c>
      <c r="B25" s="93"/>
      <c r="C25" s="93"/>
      <c r="D25" s="93"/>
      <c r="E25" s="93"/>
      <c r="F25" s="93"/>
      <c r="G25" s="93"/>
      <c r="H25" s="144" t="str">
        <v>Opening retained earnings is an explicit illustrative input, set to reconcile the 2023 example. It is not a forecast plug.</v>
      </c>
      <c r="I25" s="145"/>
      <c r="J25" s="104"/>
    </row>
    <row r="26" ht="21" customHeight="1">
      <c r="A26" s="102" t="s">
        <v>97</v>
      </c>
      <c r="B26" s="165">
        <v>85000</v>
      </c>
      <c r="C26" s="165">
        <v>89000</v>
      </c>
      <c r="D26" s="165">
        <v>93000</v>
      </c>
      <c r="E26" s="165">
        <v>97000</v>
      </c>
      <c r="F26" s="165">
        <v>101000</v>
      </c>
      <c r="G26" s="103"/>
      <c r="H26" s="145"/>
      <c r="I26" s="145"/>
      <c r="J26" s="104"/>
    </row>
    <row r="27" ht="21" customHeight="1">
      <c r="A27" s="102" t="s">
        <v>98</v>
      </c>
      <c r="B27" s="165">
        <v>62000</v>
      </c>
      <c r="C27" s="165">
        <v>68500</v>
      </c>
      <c r="D27" s="165">
        <v>75000</v>
      </c>
      <c r="E27" s="165">
        <v>82000</v>
      </c>
      <c r="F27" s="165">
        <v>89500</v>
      </c>
      <c r="G27" s="103"/>
      <c r="H27" s="145"/>
      <c r="I27" s="145"/>
      <c r="J27" s="104"/>
    </row>
    <row r="28" ht="21" customHeight="1">
      <c r="A28" s="102" t="s">
        <v>99</v>
      </c>
      <c r="B28" s="165">
        <v>28000</v>
      </c>
      <c r="C28" s="165">
        <v>30000</v>
      </c>
      <c r="D28" s="165">
        <v>32000</v>
      </c>
      <c r="E28" s="165">
        <v>34500</v>
      </c>
      <c r="F28" s="165">
        <v>37000</v>
      </c>
      <c r="G28" s="103"/>
      <c r="H28" s="145"/>
      <c r="I28" s="145"/>
      <c r="J28" s="104"/>
    </row>
    <row r="29" ht="21" customHeight="1">
      <c r="A29" s="102" t="s">
        <v>100</v>
      </c>
      <c r="B29" s="165">
        <v>12000</v>
      </c>
      <c r="C29" s="165">
        <v>13500</v>
      </c>
      <c r="D29" s="165">
        <v>15000</v>
      </c>
      <c r="E29" s="165">
        <v>16800</v>
      </c>
      <c r="F29" s="165">
        <v>18600</v>
      </c>
      <c r="G29" s="103"/>
      <c r="H29" s="103"/>
      <c r="I29" s="103"/>
      <c r="J29" s="104"/>
    </row>
    <row r="30" ht="23" customHeight="1">
      <c r="A30" s="158" t="s">
        <v>101</v>
      </c>
      <c r="B30" s="159" t="n">
        <f>SUM(B26:B29)</f>
        <v>187000</v>
      </c>
      <c r="C30" s="159" t="n">
        <f>SUM(C26:C29)</f>
        <v>201000</v>
      </c>
      <c r="D30" s="159" t="n">
        <f>SUM(D26:D29)</f>
        <v>215000</v>
      </c>
      <c r="E30" s="159" t="n">
        <f>SUM(E26:E29)</f>
        <v>230300</v>
      </c>
      <c r="F30" s="159" t="n">
        <f>SUM(F26:F29)</f>
        <v>246100</v>
      </c>
      <c r="G30" s="103"/>
      <c r="H30" s="144" t="str">
        <v>No asset disposals. Forecast depreciation uses opening gross PP&amp;E, capped at opening net PP&amp;E. New CapEx begins depreciating in the following year.</v>
      </c>
      <c r="I30" s="145"/>
      <c r="J30" s="104"/>
    </row>
    <row r="31" ht="21" customHeight="1">
      <c r="A31" s="102" t="s">
        <v>102</v>
      </c>
      <c r="B31" s="165" t="n">
        <v>-59840</v>
      </c>
      <c r="C31" s="167" t="n">
        <f>B31-'Income Statement'!C87</f>
        <v>-74800</v>
      </c>
      <c r="D31" s="167" t="n">
        <f>C31-'Income Statement'!D87</f>
        <v>-90880</v>
      </c>
      <c r="E31" s="167" t="n">
        <f>D31-'Income Statement'!E87</f>
        <v>-108080</v>
      </c>
      <c r="F31" s="167" t="n">
        <f>E31-'Income Statement'!F87</f>
        <v>-126504</v>
      </c>
      <c r="G31" s="103"/>
      <c r="H31" s="145"/>
      <c r="I31" s="145"/>
      <c r="J31" s="104"/>
    </row>
    <row r="32" ht="23" customHeight="1">
      <c r="A32" s="158" t="s">
        <v>103</v>
      </c>
      <c r="B32" s="159" t="n">
        <f>B30+B31</f>
        <v>127160</v>
      </c>
      <c r="C32" s="159" t="n">
        <f>C30+C31</f>
        <v>126200</v>
      </c>
      <c r="D32" s="159" t="n">
        <f>D30+D31</f>
        <v>124120</v>
      </c>
      <c r="E32" s="159" t="n">
        <f>E30+E31</f>
        <v>122220</v>
      </c>
      <c r="F32" s="159" t="n">
        <f>F30+F31</f>
        <v>119596</v>
      </c>
      <c r="G32" s="103"/>
      <c r="H32" s="145"/>
      <c r="I32" s="145"/>
      <c r="J32" s="104"/>
    </row>
    <row r="33" ht="21" customHeight="1">
      <c r="A33" s="102" t="s">
        <v>104</v>
      </c>
      <c r="B33" s="165">
        <v>4200</v>
      </c>
      <c r="C33" s="165">
        <v>4200</v>
      </c>
      <c r="D33" s="165">
        <v>4200</v>
      </c>
      <c r="E33" s="165">
        <v>4200</v>
      </c>
      <c r="F33" s="165">
        <v>4200</v>
      </c>
      <c r="G33" s="103"/>
      <c r="H33" s="145"/>
      <c r="I33" s="145"/>
      <c r="J33" s="104"/>
    </row>
    <row r="34" ht="23" customHeight="1">
      <c r="A34" s="158" t="s">
        <v>105</v>
      </c>
      <c r="B34" s="175" t="n">
        <f>B23+B32+B33</f>
        <v>330791.08</v>
      </c>
      <c r="C34" s="175" t="n">
        <f>C23+C32+C33</f>
        <v>341230.10719999997</v>
      </c>
      <c r="D34" s="175" t="n">
        <f>D23+D32+D33</f>
        <v>355350.731264</v>
      </c>
      <c r="E34" s="175" t="n">
        <f>E23+E32+E33</f>
        <v>373650.81712</v>
      </c>
      <c r="F34" s="175" t="n">
        <f>F23+F32+F33</f>
        <v>396608.28036000003</v>
      </c>
      <c r="G34" s="103"/>
      <c r="H34" s="145"/>
      <c r="I34" s="145"/>
      <c r="J34" s="104"/>
    </row>
    <row r="35" ht="21" customHeight="1">
      <c r="A35" s="102"/>
      <c r="B35" s="103"/>
      <c r="C35" s="103"/>
      <c r="D35" s="103"/>
      <c r="E35" s="103"/>
      <c r="F35" s="103"/>
      <c r="G35" s="103"/>
      <c r="H35" s="103"/>
      <c r="I35" s="103"/>
      <c r="J35" s="104"/>
    </row>
    <row r="36" ht="24" customHeight="1">
      <c r="A36" s="153" t="s">
        <v>106</v>
      </c>
      <c r="B36" s="128"/>
      <c r="C36" s="128"/>
      <c r="D36" s="128"/>
      <c r="E36" s="128"/>
      <c r="F36" s="128"/>
      <c r="G36" s="105"/>
      <c r="H36" s="103"/>
      <c r="I36" s="103"/>
      <c r="J36" s="104"/>
    </row>
    <row r="37" ht="21" customHeight="1">
      <c r="A37" s="92" t="s">
        <v>107</v>
      </c>
      <c r="B37" s="93"/>
      <c r="C37" s="93"/>
      <c r="D37" s="93"/>
      <c r="E37" s="93"/>
      <c r="F37" s="93"/>
      <c r="G37" s="93"/>
      <c r="H37" s="103"/>
      <c r="I37" s="103"/>
      <c r="J37" s="104"/>
    </row>
    <row r="38" ht="21" customHeight="1">
      <c r="A38" s="102" t="s">
        <v>108</v>
      </c>
      <c r="B38" s="167" t="n">
        <f>'Income Statement'!B61*$I$38</f>
        <v>27403.320000000003</v>
      </c>
      <c r="C38" s="167" t="n">
        <f>'Income Statement'!C61*$I$38</f>
        <v>30691.7184</v>
      </c>
      <c r="D38" s="167" t="n">
        <f>'Income Statement'!D61*$I$38</f>
        <v>34374.724608000004</v>
      </c>
      <c r="E38" s="167" t="n">
        <f>'Income Statement'!E61*$I$38</f>
        <v>38499.645408</v>
      </c>
      <c r="F38" s="167" t="n">
        <f>'Income Statement'!F61*$I$38</f>
        <v>43119.652856</v>
      </c>
      <c r="G38" s="103"/>
      <c r="H38" s="103" t="str">
        <v>Payables / total COGS</v>
      </c>
      <c r="I38" s="170" t="n">
        <v>0.14</v>
      </c>
      <c r="J38" s="104"/>
    </row>
    <row r="39" ht="21" customHeight="1">
      <c r="A39" s="102" t="s">
        <v>109</v>
      </c>
      <c r="B39" s="167" t="n">
        <f>'Income Statement'!B86*$I$39</f>
        <v>4332</v>
      </c>
      <c r="C39" s="167" t="n">
        <f>'Income Statement'!C86*$I$39</f>
        <v>4851.84</v>
      </c>
      <c r="D39" s="167" t="n">
        <f>'Income Statement'!D86*$I$39</f>
        <v>5434.060800000001</v>
      </c>
      <c r="E39" s="167" t="n">
        <f>'Income Statement'!E86*$I$39</f>
        <v>6086.140799999998</v>
      </c>
      <c r="F39" s="167" t="n">
        <f>'Income Statement'!F86*$I$39</f>
        <v>6816.485600000001</v>
      </c>
      <c r="G39" s="103"/>
      <c r="H39" s="103" t="str">
        <v>Accruals / operating expenses</v>
      </c>
      <c r="I39" s="170" t="n">
        <v>0.08</v>
      </c>
      <c r="J39" s="104"/>
    </row>
    <row r="40" ht="21" customHeight="1">
      <c r="A40" s="102" t="s">
        <v>110</v>
      </c>
      <c r="B40" s="167" t="n">
        <f>'Income Statement'!B32*$I$40</f>
        <v>4104</v>
      </c>
      <c r="C40" s="167" t="n">
        <f>'Income Statement'!C32*$I$40</f>
        <v>4596.4800000000005</v>
      </c>
      <c r="D40" s="167" t="n">
        <f>'Income Statement'!D32*$I$40</f>
        <v>5148.0576</v>
      </c>
      <c r="E40" s="167" t="n">
        <f>'Income Statement'!E32*$I$40</f>
        <v>5765.817599999999</v>
      </c>
      <c r="F40" s="167" t="n">
        <f>'Income Statement'!F32*$I$40</f>
        <v>6457.7232</v>
      </c>
      <c r="G40" s="103"/>
      <c r="H40" s="103" t="str">
        <v>Warranty reserve / equipment sales</v>
      </c>
      <c r="I40" s="170" t="n">
        <v>0.02</v>
      </c>
      <c r="J40" s="104"/>
    </row>
    <row r="41" ht="21" customHeight="1">
      <c r="A41" s="102" t="str">
        <v>Current portion of debt</v>
      </c>
      <c r="B41" s="165">
        <v>8000</v>
      </c>
      <c r="C41" s="165" t="n">
        <v>8000</v>
      </c>
      <c r="D41" s="165">
        <v>8000</v>
      </c>
      <c r="E41" s="165">
        <v>8000</v>
      </c>
      <c r="F41" s="165">
        <v>8000</v>
      </c>
      <c r="G41" s="103"/>
      <c r="H41" s="103"/>
      <c r="I41" s="103"/>
      <c r="J41" s="104"/>
    </row>
    <row r="42" ht="23" customHeight="1">
      <c r="A42" s="158" t="s">
        <v>111</v>
      </c>
      <c r="B42" s="159" t="n">
        <f>SUM(B38:B41)</f>
        <v>43839.32000000001</v>
      </c>
      <c r="C42" s="159" t="n">
        <f>SUM(C38:C41)</f>
        <v>48140.038400000005</v>
      </c>
      <c r="D42" s="159" t="n">
        <f>SUM(D38:D41)</f>
        <v>52956.843008</v>
      </c>
      <c r="E42" s="159" t="n">
        <f>SUM(E38:E41)</f>
        <v>58351.603808</v>
      </c>
      <c r="F42" s="159" t="n">
        <f>SUM(F38:F41)</f>
        <v>64393.861656</v>
      </c>
      <c r="G42" s="103"/>
      <c r="H42" s="103"/>
      <c r="I42" s="103"/>
      <c r="J42" s="104"/>
    </row>
    <row r="43" ht="21" customHeight="1">
      <c r="A43" s="102"/>
      <c r="B43" s="103"/>
      <c r="C43" s="103"/>
      <c r="D43" s="103"/>
      <c r="E43" s="103"/>
      <c r="F43" s="103"/>
      <c r="G43" s="103"/>
      <c r="H43" s="103"/>
      <c r="I43" s="103"/>
      <c r="J43" s="104"/>
    </row>
    <row r="44" ht="21" customHeight="1">
      <c r="A44" s="102" t="s">
        <v>112</v>
      </c>
      <c r="B44" s="165">
        <v>92000</v>
      </c>
      <c r="C44" s="165">
        <v>84000</v>
      </c>
      <c r="D44" s="165">
        <v>76000</v>
      </c>
      <c r="E44" s="165">
        <v>68000</v>
      </c>
      <c r="F44" s="165">
        <v>60000</v>
      </c>
      <c r="G44" s="103"/>
      <c r="H44" s="103"/>
      <c r="I44" s="103"/>
      <c r="J44" s="104"/>
    </row>
    <row r="45" ht="21" customHeight="1">
      <c r="A45" s="102" t="s">
        <v>113</v>
      </c>
      <c r="B45" s="165">
        <v>6800</v>
      </c>
      <c r="C45" s="165">
        <v>6800</v>
      </c>
      <c r="D45" s="165">
        <v>6800</v>
      </c>
      <c r="E45" s="165">
        <v>6800</v>
      </c>
      <c r="F45" s="165">
        <v>6800</v>
      </c>
      <c r="G45" s="103"/>
      <c r="H45" s="103"/>
      <c r="I45" s="103"/>
      <c r="J45" s="104"/>
    </row>
    <row r="46" ht="23" customHeight="1">
      <c r="A46" s="158" t="s">
        <v>114</v>
      </c>
      <c r="B46" s="159" t="n">
        <f>B42+B44+B45</f>
        <v>142639.32</v>
      </c>
      <c r="C46" s="159" t="n">
        <f>C42+C44+C45</f>
        <v>138940.03840000002</v>
      </c>
      <c r="D46" s="159" t="n">
        <f>D42+D44+D45</f>
        <v>135756.843008</v>
      </c>
      <c r="E46" s="159" t="n">
        <f>E42+E44+E45</f>
        <v>133151.60380799999</v>
      </c>
      <c r="F46" s="159" t="n">
        <f>F42+F44+F45</f>
        <v>131193.861656</v>
      </c>
      <c r="G46" s="103"/>
      <c r="H46" s="103"/>
      <c r="I46" s="103"/>
      <c r="J46" s="104"/>
    </row>
    <row r="47" ht="2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4"/>
    </row>
    <row r="48" ht="21" customHeight="1">
      <c r="A48" s="92" t="s">
        <v>115</v>
      </c>
      <c r="B48" s="93"/>
      <c r="C48" s="93"/>
      <c r="D48" s="93"/>
      <c r="E48" s="93"/>
      <c r="F48" s="93"/>
      <c r="G48" s="93"/>
      <c r="H48" s="103"/>
      <c r="I48" s="103"/>
      <c r="J48" s="104"/>
    </row>
    <row r="49" ht="21" customHeight="1">
      <c r="A49" s="102" t="s">
        <v>116</v>
      </c>
      <c r="B49" s="165">
        <v>15000</v>
      </c>
      <c r="C49" s="165" t="n">
        <v>15000</v>
      </c>
      <c r="D49" s="165">
        <v>15000</v>
      </c>
      <c r="E49" s="165">
        <v>15000</v>
      </c>
      <c r="F49" s="165">
        <v>15000</v>
      </c>
      <c r="G49" s="103"/>
      <c r="H49" s="103"/>
      <c r="I49" s="103"/>
      <c r="J49" s="104"/>
    </row>
    <row r="50" ht="21" customHeight="1">
      <c r="A50" s="102" t="s">
        <v>117</v>
      </c>
      <c r="B50" s="165" t="n">
        <v>173151.76</v>
      </c>
      <c r="C50" s="167" t="n">
        <f>B50+'Income Statement'!C101-$I$9</f>
        <v>187290.0688</v>
      </c>
      <c r="D50" s="167" t="n">
        <f>C50+'Income Statement'!D101-$I$9</f>
        <v>204593.888256</v>
      </c>
      <c r="E50" s="167" t="n">
        <f>D50+'Income Statement'!E101-$I$9</f>
        <v>225499.213312</v>
      </c>
      <c r="F50" s="167" t="n">
        <f>E50+'Income Statement'!F101-$I$9</f>
        <v>250414.41870400007</v>
      </c>
      <c r="G50" s="103"/>
      <c r="H50" s="103"/>
      <c r="I50" s="103"/>
      <c r="J50" s="104"/>
    </row>
    <row r="51" ht="23" customHeight="1">
      <c r="A51" s="158" t="s">
        <v>118</v>
      </c>
      <c r="B51" s="159" t="n">
        <f>SUM(B49:B50)</f>
        <v>188151.76</v>
      </c>
      <c r="C51" s="159" t="n">
        <f>SUM(C49:C50)</f>
        <v>202290.0688</v>
      </c>
      <c r="D51" s="159" t="n">
        <f>SUM(D49:D50)</f>
        <v>219593.888256</v>
      </c>
      <c r="E51" s="159" t="n">
        <f>SUM(E49:E50)</f>
        <v>240499.213312</v>
      </c>
      <c r="F51" s="159" t="n">
        <f>SUM(F49:F50)</f>
        <v>265414.41870400007</v>
      </c>
      <c r="G51" s="103"/>
      <c r="H51" s="103"/>
      <c r="I51" s="103"/>
      <c r="J51" s="104"/>
    </row>
    <row r="52" ht="21" customHeight="1">
      <c r="A52" s="102"/>
      <c r="B52" s="103"/>
      <c r="C52" s="103"/>
      <c r="D52" s="103"/>
      <c r="E52" s="103"/>
      <c r="F52" s="103"/>
      <c r="G52" s="103"/>
      <c r="H52" s="103"/>
      <c r="I52" s="103"/>
      <c r="J52" s="104"/>
    </row>
    <row r="53" ht="23" customHeight="1">
      <c r="A53" s="158" t="s">
        <v>119</v>
      </c>
      <c r="B53" s="175" t="n">
        <f>B46+B51</f>
        <v>330791.08</v>
      </c>
      <c r="C53" s="175" t="n">
        <f>C46+C51</f>
        <v>341230.1072</v>
      </c>
      <c r="D53" s="175" t="n">
        <f>D46+D51</f>
        <v>355350.731264</v>
      </c>
      <c r="E53" s="175" t="n">
        <f>E46+E51</f>
        <v>373650.81712</v>
      </c>
      <c r="F53" s="175" t="n">
        <f>F46+F51</f>
        <v>396608.2803600001</v>
      </c>
      <c r="G53" s="103"/>
      <c r="H53" s="103"/>
      <c r="I53" s="103"/>
      <c r="J53" s="104"/>
    </row>
    <row r="54" ht="21" customHeight="1">
      <c r="A54" s="102"/>
      <c r="B54" s="103"/>
      <c r="C54" s="103"/>
      <c r="D54" s="103"/>
      <c r="E54" s="103"/>
      <c r="F54" s="103"/>
      <c r="G54" s="103"/>
      <c r="H54" s="103"/>
      <c r="I54" s="103"/>
      <c r="J54" s="104"/>
    </row>
    <row r="55" ht="21" customHeight="1">
      <c r="A55" s="102" t="s">
        <v>120</v>
      </c>
      <c r="B55" s="178" t="n">
        <f>ROUND(B34-B53,8)</f>
        <v>0</v>
      </c>
      <c r="C55" s="178" t="n">
        <f>ROUND(C34-C53,8)</f>
        <v>0</v>
      </c>
      <c r="D55" s="178" t="n">
        <f>ROUND(D34-D53,8)</f>
        <v>0</v>
      </c>
      <c r="E55" s="178" t="n">
        <f>ROUND(E34-E53,8)</f>
        <v>0</v>
      </c>
      <c r="F55" s="178" t="n">
        <f>ROUND(F34-F53,8)</f>
        <v>0</v>
      </c>
      <c r="G55" s="103"/>
      <c r="H55" s="103"/>
      <c r="I55" s="103"/>
      <c r="J55" s="104"/>
    </row>
    <row r="56" ht="21" customHeight="1">
      <c r="A56" s="102"/>
      <c r="B56" s="103"/>
      <c r="C56" s="103"/>
      <c r="D56" s="103"/>
      <c r="E56" s="103"/>
      <c r="F56" s="103"/>
      <c r="G56" s="103"/>
      <c r="H56" s="103"/>
      <c r="I56" s="103"/>
      <c r="J56" s="104"/>
    </row>
    <row r="57" ht="21" customHeight="1">
      <c r="A57" s="102"/>
      <c r="B57" s="103"/>
      <c r="C57" s="103"/>
      <c r="D57" s="103"/>
      <c r="E57" s="103"/>
      <c r="F57" s="103"/>
      <c r="G57" s="103"/>
      <c r="H57" s="103"/>
      <c r="I57" s="103"/>
      <c r="J57" s="104"/>
    </row>
    <row r="58" ht="21" customHeight="1">
      <c r="A58" s="109"/>
      <c r="B58" s="110"/>
      <c r="C58" s="110"/>
      <c r="D58" s="110"/>
      <c r="E58" s="110"/>
      <c r="F58" s="110"/>
      <c r="G58" s="110"/>
      <c r="H58" s="110"/>
      <c r="I58" s="110"/>
      <c r="J58" s="111"/>
    </row>
  </sheetData>
  <mergeCells>
    <mergeCell ref="A1:F1"/>
    <mergeCell ref="H5:I5"/>
    <mergeCell ref="H25:I28"/>
    <mergeCell ref="H30:I34"/>
  </mergeCells>
  <conditionalFormatting sqref="B55:F55">
    <cfRule type="expression" dxfId="0" priority="1">
      <formula>ABS(B55)&gt;0.01</formula>
    </cfRule>
  </conditionalFormatting>
  <printOptions horizontalCentered="1" gridLines="0" headings="0"/>
  <pageMargins left="0.3" right="0.3" top="0.4" bottom="0.4" header="0.15" footer="0.2"/>
  <pageSetup paperSize="1" orientation="landscape" fitToWidth="1" fitToHeight="0"/>
  <headerFooter>
    <oddFooter>&amp;LZachary Vorsteg | Illustrative model&amp;RPage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9312D"/>
    <pageSetUpPr fitToPage="1"/>
  </sheetPr>
  <sheetViews>
    <sheetView showGridLines="0" workbookViewId="0">
      <pane xSplit="1" ySplit="6" topLeftCell="B7" activePane="bottomRight" state="frozen"/>
    </sheetView>
  </sheetViews>
  <sheetFormatPr baseColWidth="10" defaultColWidth="8.6640625" defaultRowHeight="15"/>
  <cols>
    <col min="1" max="1" width="43" hidden="0" customWidth="1"/>
    <col min="2" max="6" width="16" customWidth="1"/>
    <col min="2" max="2" width="14" hidden="0" customWidth="1"/>
    <col min="3" max="3" width="14" hidden="0" customWidth="1"/>
    <col min="4" max="4" width="14" hidden="0" customWidth="1"/>
    <col min="5" max="5" width="14" hidden="0" customWidth="1"/>
    <col min="6" max="6" width="14" hidden="0" customWidth="1"/>
    <col min="7" max="7" width="3" hidden="0" customWidth="1"/>
    <col min="8" max="8" width="44" hidden="0" customWidth="1"/>
    <col min="9" max="9" width="15" hidden="0" customWidth="1"/>
    <col min="10" max="10" width="3" hidden="0" customWidth="1"/>
  </cols>
  <sheetData>
    <row r="1" ht="32" customHeight="1">
      <c r="A1" s="119" t="str">
        <v>Cash Flow</v>
      </c>
      <c r="B1" s="120"/>
      <c r="C1" s="120"/>
      <c r="D1" s="120"/>
      <c r="E1" s="120"/>
      <c r="F1" s="120"/>
      <c r="G1" s="120"/>
      <c r="H1" s="120"/>
      <c r="I1" s="120"/>
      <c r="J1" s="120"/>
    </row>
    <row r="2" ht="24" customHeight="1">
      <c r="A2" s="124" t="str">
        <v>Zachary Vorsteg. Illustrative industrial company. USD thousands. Blue cells are editable.</v>
      </c>
      <c r="B2" s="125"/>
      <c r="C2" s="125"/>
      <c r="D2" s="125"/>
      <c r="E2" s="125"/>
      <c r="F2" s="125"/>
      <c r="G2" s="125"/>
      <c r="H2" s="125"/>
      <c r="I2" s="125"/>
      <c r="J2" s="126"/>
    </row>
    <row r="3" ht="24" customHeight="1">
      <c r="A3" s="121" t="str">
        <v>2023 is the opening reference. Cash movements begin in 2024.</v>
      </c>
      <c r="B3" s="122"/>
      <c r="C3" s="122"/>
      <c r="D3" s="122"/>
      <c r="E3" s="122"/>
      <c r="F3" s="122"/>
      <c r="G3" s="103"/>
      <c r="H3" s="103"/>
      <c r="I3" s="103"/>
      <c r="J3" s="104"/>
    </row>
    <row r="4" ht="21" customHeight="1">
      <c r="A4" s="102"/>
      <c r="B4" s="103"/>
      <c r="C4" s="103"/>
      <c r="D4" s="103"/>
      <c r="E4" s="103"/>
      <c r="F4" s="103"/>
      <c r="G4" s="103"/>
      <c r="H4" s="103"/>
      <c r="I4" s="103"/>
      <c r="J4" s="104"/>
    </row>
    <row r="5" ht="25" customHeight="1">
      <c r="A5" s="102"/>
      <c r="B5" s="129" t="s">
        <v>0</v>
      </c>
      <c r="C5" s="129" t="s">
        <v>1</v>
      </c>
      <c r="D5" s="129" t="s">
        <v>2</v>
      </c>
      <c r="E5" s="129" t="s">
        <v>3</v>
      </c>
      <c r="F5" s="129" t="s">
        <v>4</v>
      </c>
      <c r="G5" s="103"/>
      <c r="H5" s="144" t="str">
        <v>Start with the Income Statement</v>
      </c>
      <c r="I5" s="103"/>
      <c r="J5" s="104"/>
    </row>
    <row r="6" ht="19" customHeight="1">
      <c r="A6" s="102"/>
      <c r="B6" s="130" t="str">
        <v>Opening only</v>
      </c>
      <c r="C6" s="130" t="str">
        <v>Forecast</v>
      </c>
      <c r="D6" s="130" t="str">
        <v>Forecast</v>
      </c>
      <c r="E6" s="130" t="str">
        <v>Forecast</v>
      </c>
      <c r="F6" s="130" t="str">
        <v>Forecast</v>
      </c>
      <c r="G6" s="103"/>
      <c r="H6" s="103"/>
      <c r="I6" s="103"/>
      <c r="J6" s="104"/>
    </row>
    <row r="7" ht="24" customHeight="1">
      <c r="A7" s="150" t="s">
        <v>121</v>
      </c>
      <c r="B7" s="151"/>
      <c r="C7" s="151"/>
      <c r="D7" s="151"/>
      <c r="E7" s="151"/>
      <c r="F7" s="151"/>
      <c r="G7" s="93"/>
      <c r="H7" s="144" t="str">
        <v>The 2023 column is an opening/reference balance, not a reconstructed cash-flow statement. Forecast flows begin in 2024.</v>
      </c>
      <c r="I7" s="145"/>
      <c r="J7" s="104"/>
    </row>
    <row r="8" ht="21" customHeight="1">
      <c r="A8" s="102" t="s">
        <v>122</v>
      </c>
      <c r="B8" s="106"/>
      <c r="C8" s="167" t="n">
        <f>'Income Statement'!C101</f>
        <v>14138.308800000003</v>
      </c>
      <c r="D8" s="167" t="n">
        <f>'Income Statement'!D101</f>
        <v>17303.819456000005</v>
      </c>
      <c r="E8" s="167" t="n">
        <f>'Income Statement'!E101</f>
        <v>20905.325056000005</v>
      </c>
      <c r="F8" s="167" t="n">
        <f>'Income Statement'!F101</f>
        <v>24915.205392000054</v>
      </c>
      <c r="G8" s="103"/>
      <c r="H8" s="145"/>
      <c r="I8" s="145"/>
      <c r="J8" s="104"/>
    </row>
    <row r="9" ht="21" customHeight="1">
      <c r="A9" s="92" t="s">
        <v>123</v>
      </c>
      <c r="B9" s="93"/>
      <c r="C9" s="93"/>
      <c r="D9" s="93"/>
      <c r="E9" s="93"/>
      <c r="F9" s="93"/>
      <c r="G9" s="93"/>
      <c r="H9" s="145"/>
      <c r="I9" s="145"/>
      <c r="J9" s="104"/>
    </row>
    <row r="10" ht="21" customHeight="1">
      <c r="A10" s="102" t="s">
        <v>124</v>
      </c>
      <c r="B10" s="106"/>
      <c r="C10" s="167" t="n">
        <f>'Income Statement'!C87</f>
        <v>14960</v>
      </c>
      <c r="D10" s="167" t="n">
        <f>'Income Statement'!D87</f>
        <v>16080</v>
      </c>
      <c r="E10" s="167" t="n">
        <f>'Income Statement'!E87</f>
        <v>17200</v>
      </c>
      <c r="F10" s="167" t="n">
        <f>'Income Statement'!F87</f>
        <v>18424</v>
      </c>
      <c r="G10" s="103"/>
      <c r="H10" s="145"/>
      <c r="I10" s="145"/>
      <c r="J10" s="104"/>
    </row>
    <row r="11" ht="21" customHeight="1">
      <c r="A11" s="102" t="str">
        <v>Change in other long-term liabilities</v>
      </c>
      <c r="B11" s="106"/>
      <c r="C11" s="167" t="n">
        <f>'Balance Sheet'!C45-'Balance Sheet'!B45</f>
        <v>0</v>
      </c>
      <c r="D11" s="167" t="n">
        <f>'Balance Sheet'!D45-'Balance Sheet'!C45</f>
        <v>0</v>
      </c>
      <c r="E11" s="167" t="n">
        <f>'Balance Sheet'!E45-'Balance Sheet'!D45</f>
        <v>0</v>
      </c>
      <c r="F11" s="167" t="n">
        <f>'Balance Sheet'!F45-'Balance Sheet'!E45</f>
        <v>0</v>
      </c>
      <c r="G11" s="103"/>
      <c r="H11" s="145"/>
      <c r="I11" s="145"/>
      <c r="J11" s="104"/>
    </row>
    <row r="12" ht="21" customHeight="1">
      <c r="A12" s="92" t="s">
        <v>125</v>
      </c>
      <c r="B12" s="93"/>
      <c r="C12" s="93"/>
      <c r="D12" s="93"/>
      <c r="E12" s="93"/>
      <c r="F12" s="93"/>
      <c r="G12" s="93"/>
      <c r="H12" s="103"/>
      <c r="I12" s="103"/>
      <c r="J12" s="104"/>
    </row>
    <row r="13" ht="21" customHeight="1">
      <c r="A13" s="102" t="s">
        <v>126</v>
      </c>
      <c r="B13" s="103"/>
      <c r="C13" s="167" t="n">
        <f>-('Balance Sheet'!C15-'Balance Sheet'!B15)</f>
        <v>-5012.625600000007</v>
      </c>
      <c r="D13" s="167" t="n">
        <f>-('Balance Sheet'!D15-'Balance Sheet'!C15)</f>
        <v>-5614.140671999994</v>
      </c>
      <c r="E13" s="167" t="n">
        <f>-('Balance Sheet'!E15-'Balance Sheet'!D15)</f>
        <v>-6287.767199999995</v>
      </c>
      <c r="F13" s="167" t="n">
        <f>-('Balance Sheet'!F15-'Balance Sheet'!E15)</f>
        <v>-7042.445832000005</v>
      </c>
      <c r="G13" s="103"/>
      <c r="H13" s="144" t="str">
        <v>Annual depreciation comes from the income statement. CapEx follows the matching gross asset category. Cash then feeds the balance sheet.</v>
      </c>
      <c r="I13" s="145"/>
      <c r="J13" s="104"/>
    </row>
    <row r="14" ht="21" customHeight="1">
      <c r="A14" s="102" t="s">
        <v>127</v>
      </c>
      <c r="B14" s="103"/>
      <c r="C14" s="167" t="n">
        <f>-('Balance Sheet'!C21-'Balance Sheet'!B21)</f>
        <v>-14214.203999999983</v>
      </c>
      <c r="D14" s="167" t="n">
        <f>-('Balance Sheet'!D21-'Balance Sheet'!C21)</f>
        <v>-15919.908480000042</v>
      </c>
      <c r="E14" s="167" t="n">
        <f>-('Balance Sheet'!E21-'Balance Sheet'!D21)</f>
        <v>-17830.09799999997</v>
      </c>
      <c r="F14" s="167" t="n">
        <f>-('Balance Sheet'!F21-'Balance Sheet'!E21)</f>
        <v>-19970.125380000012</v>
      </c>
      <c r="G14" s="103"/>
      <c r="H14" s="145"/>
      <c r="I14" s="145"/>
      <c r="J14" s="104"/>
    </row>
    <row r="15" ht="21" customHeight="1">
      <c r="A15" s="102" t="s">
        <v>128</v>
      </c>
      <c r="B15" s="103"/>
      <c r="C15" s="167" t="n">
        <f>-('Balance Sheet'!C22-'Balance Sheet'!B22)</f>
        <v>-324.9000000000001</v>
      </c>
      <c r="D15" s="167" t="n">
        <f>-('Balance Sheet'!D22-'Balance Sheet'!C22)</f>
        <v>-363.8880000000004</v>
      </c>
      <c r="E15" s="167" t="n">
        <f>-('Balance Sheet'!E22-'Balance Sheet'!D22)</f>
        <v>-407.5499999999988</v>
      </c>
      <c r="F15" s="167" t="n">
        <f>-('Balance Sheet'!F22-'Balance Sheet'!E22)</f>
        <v>-456.4655000000016</v>
      </c>
      <c r="G15" s="103"/>
      <c r="H15" s="145"/>
      <c r="I15" s="145"/>
      <c r="J15" s="104"/>
    </row>
    <row r="16" ht="21" customHeight="1">
      <c r="A16" s="102" t="s">
        <v>129</v>
      </c>
      <c r="B16" s="103"/>
      <c r="C16" s="167" t="n">
        <f>'Balance Sheet'!C38-'Balance Sheet'!B38</f>
        <v>3288.398399999998</v>
      </c>
      <c r="D16" s="167" t="n">
        <f>'Balance Sheet'!D38-'Balance Sheet'!C38</f>
        <v>3683.0062080000025</v>
      </c>
      <c r="E16" s="167" t="n">
        <f>'Balance Sheet'!E38-'Balance Sheet'!D38</f>
        <v>4124.920799999993</v>
      </c>
      <c r="F16" s="167" t="n">
        <f>'Balance Sheet'!F38-'Balance Sheet'!E38</f>
        <v>4620.007448000004</v>
      </c>
      <c r="G16" s="103"/>
      <c r="H16" s="145"/>
      <c r="I16" s="145"/>
      <c r="J16" s="104"/>
    </row>
    <row r="17" ht="21" customHeight="1">
      <c r="A17" s="102" t="s">
        <v>130</v>
      </c>
      <c r="B17" s="103"/>
      <c r="C17" s="167" t="n">
        <f>'Balance Sheet'!C39-'Balance Sheet'!B39</f>
        <v>519.8400000000001</v>
      </c>
      <c r="D17" s="167" t="n">
        <f>'Balance Sheet'!D39-'Balance Sheet'!C39</f>
        <v>582.220800000001</v>
      </c>
      <c r="E17" s="167" t="n">
        <f>'Balance Sheet'!E39-'Balance Sheet'!D39</f>
        <v>652.0799999999972</v>
      </c>
      <c r="F17" s="167" t="n">
        <f>'Balance Sheet'!F39-'Balance Sheet'!E39</f>
        <v>730.3448000000026</v>
      </c>
      <c r="G17" s="103"/>
      <c r="H17" s="145"/>
      <c r="I17" s="145"/>
      <c r="J17" s="104"/>
    </row>
    <row r="18" ht="21" customHeight="1">
      <c r="A18" s="102" t="s">
        <v>131</v>
      </c>
      <c r="B18" s="103"/>
      <c r="C18" s="167" t="n">
        <f>'Balance Sheet'!C40-'Balance Sheet'!B40</f>
        <v>492.4800000000005</v>
      </c>
      <c r="D18" s="167" t="n">
        <f>'Balance Sheet'!D40-'Balance Sheet'!C40</f>
        <v>551.5775999999996</v>
      </c>
      <c r="E18" s="167" t="n">
        <f>'Balance Sheet'!E40-'Balance Sheet'!D40</f>
        <v>617.7599999999993</v>
      </c>
      <c r="F18" s="167" t="n">
        <f>'Balance Sheet'!F40-'Balance Sheet'!E40</f>
        <v>691.905600000001</v>
      </c>
      <c r="G18" s="103"/>
      <c r="H18" s="103"/>
      <c r="I18" s="103"/>
      <c r="J18" s="104"/>
    </row>
    <row r="19" ht="23" customHeight="1">
      <c r="A19" s="158" t="s">
        <v>132</v>
      </c>
      <c r="B19" s="159"/>
      <c r="C19" s="159" t="n">
        <f>SUM(C8:C18)</f>
        <v>13847.297600000013</v>
      </c>
      <c r="D19" s="159" t="n">
        <f>SUM(D8:D18)</f>
        <v>16302.686911999972</v>
      </c>
      <c r="E19" s="159" t="n">
        <f>SUM(E8:E18)</f>
        <v>18974.670656000028</v>
      </c>
      <c r="F19" s="159" t="n">
        <f>SUM(F8:F18)</f>
        <v>21912.426528000044</v>
      </c>
      <c r="G19" s="103"/>
      <c r="H19" s="144" t="str">
        <v>Debt includes the current portion and long-term balance. Equity financing includes common-stock changes less the annual dividend assumption.</v>
      </c>
      <c r="I19" s="145"/>
      <c r="J19" s="104"/>
    </row>
    <row r="20" ht="21" customHeight="1">
      <c r="A20" s="102"/>
      <c r="B20" s="103"/>
      <c r="C20" s="103"/>
      <c r="D20" s="103"/>
      <c r="E20" s="103"/>
      <c r="F20" s="103"/>
      <c r="G20" s="103"/>
      <c r="H20" s="145"/>
      <c r="I20" s="145"/>
      <c r="J20" s="104"/>
    </row>
    <row r="21" ht="24" customHeight="1">
      <c r="A21" s="150" t="s">
        <v>133</v>
      </c>
      <c r="B21" s="151"/>
      <c r="C21" s="151"/>
      <c r="D21" s="151"/>
      <c r="E21" s="151"/>
      <c r="F21" s="151"/>
      <c r="G21" s="93"/>
      <c r="H21" s="145"/>
      <c r="I21" s="145"/>
      <c r="J21" s="104"/>
    </row>
    <row r="22" ht="21" customHeight="1">
      <c r="A22" s="92" t="str">
        <v>Change in investments &amp; other assets</v>
      </c>
      <c r="B22" s="93"/>
      <c r="C22" s="168" t="n">
        <f>-SUM('Balance Sheet'!C10,'Balance Sheet'!C33)+SUM('Balance Sheet'!B10,'Balance Sheet'!B33)</f>
        <v>0</v>
      </c>
      <c r="D22" s="168" t="n">
        <f>-SUM('Balance Sheet'!D10,'Balance Sheet'!D33)+SUM('Balance Sheet'!C10,'Balance Sheet'!C33)</f>
        <v>0</v>
      </c>
      <c r="E22" s="168" t="n">
        <f>-SUM('Balance Sheet'!E10,'Balance Sheet'!E33)+SUM('Balance Sheet'!D10,'Balance Sheet'!D33)</f>
        <v>0</v>
      </c>
      <c r="F22" s="168" t="n">
        <f>-SUM('Balance Sheet'!F10,'Balance Sheet'!F33)+SUM('Balance Sheet'!E10,'Balance Sheet'!E33)</f>
        <v>0</v>
      </c>
      <c r="G22" s="93"/>
      <c r="H22" s="145"/>
      <c r="I22" s="145"/>
      <c r="J22" s="104"/>
    </row>
    <row r="23" ht="21" customHeight="1">
      <c r="A23" s="102" t="s">
        <v>134</v>
      </c>
      <c r="B23" s="103"/>
      <c r="C23" s="167" t="n">
        <f>-('Balance Sheet'!C26-'Balance Sheet'!B26)</f>
        <v>-4000</v>
      </c>
      <c r="D23" s="167" t="n">
        <f>-('Balance Sheet'!D26-'Balance Sheet'!C26)</f>
        <v>-4000</v>
      </c>
      <c r="E23" s="167" t="n">
        <f>-('Balance Sheet'!E26-'Balance Sheet'!D26)</f>
        <v>-4000</v>
      </c>
      <c r="F23" s="167" t="n">
        <f>-('Balance Sheet'!F26-'Balance Sheet'!E26)</f>
        <v>-4000</v>
      </c>
      <c r="G23" s="103"/>
      <c r="H23" s="145"/>
      <c r="I23" s="145"/>
      <c r="J23" s="104"/>
    </row>
    <row r="24" ht="21" customHeight="1">
      <c r="A24" s="102" t="s">
        <v>135</v>
      </c>
      <c r="B24" s="103"/>
      <c r="C24" s="167" t="n">
        <f>-('Balance Sheet'!C27-'Balance Sheet'!B27)</f>
        <v>-6500</v>
      </c>
      <c r="D24" s="167" t="n">
        <f>-('Balance Sheet'!D27-'Balance Sheet'!C27)</f>
        <v>-6500</v>
      </c>
      <c r="E24" s="167" t="n">
        <f>-('Balance Sheet'!E27-'Balance Sheet'!D27)</f>
        <v>-7000</v>
      </c>
      <c r="F24" s="167" t="n">
        <f>-('Balance Sheet'!F27-'Balance Sheet'!E27)</f>
        <v>-7500</v>
      </c>
      <c r="G24" s="103"/>
      <c r="H24" s="103"/>
      <c r="I24" s="103"/>
      <c r="J24" s="104"/>
    </row>
    <row r="25" ht="21" customHeight="1">
      <c r="A25" s="102" t="s">
        <v>136</v>
      </c>
      <c r="B25" s="103"/>
      <c r="C25" s="167" t="n">
        <f>-('Balance Sheet'!C28-'Balance Sheet'!B28)</f>
        <v>-2000</v>
      </c>
      <c r="D25" s="167" t="n">
        <f>-('Balance Sheet'!D28-'Balance Sheet'!C28)</f>
        <v>-2000</v>
      </c>
      <c r="E25" s="167" t="n">
        <f>-('Balance Sheet'!E28-'Balance Sheet'!D28)</f>
        <v>-2500</v>
      </c>
      <c r="F25" s="167" t="n">
        <f>-('Balance Sheet'!F28-'Balance Sheet'!E28)</f>
        <v>-2500</v>
      </c>
      <c r="G25" s="103"/>
      <c r="H25" s="103"/>
      <c r="I25" s="103"/>
      <c r="J25" s="104"/>
    </row>
    <row r="26" ht="21" customHeight="1">
      <c r="A26" s="102" t="s">
        <v>137</v>
      </c>
      <c r="B26" s="103"/>
      <c r="C26" s="167" t="n">
        <f>-('Balance Sheet'!C29-'Balance Sheet'!B29)</f>
        <v>-1500</v>
      </c>
      <c r="D26" s="167" t="n">
        <f>-('Balance Sheet'!D29-'Balance Sheet'!C29)</f>
        <v>-1500</v>
      </c>
      <c r="E26" s="167" t="n">
        <f>-('Balance Sheet'!E29-'Balance Sheet'!D29)</f>
        <v>-1800</v>
      </c>
      <c r="F26" s="167" t="n">
        <f>-('Balance Sheet'!F29-'Balance Sheet'!E29)</f>
        <v>-1800</v>
      </c>
      <c r="G26" s="103"/>
      <c r="H26" s="144" t="str">
        <v>Both reconciliation rows should read 0.00 after replacing the opening inputs. Nonzero differences are highlighted.</v>
      </c>
      <c r="I26" s="145"/>
      <c r="J26" s="104"/>
    </row>
    <row r="27" ht="23" customHeight="1">
      <c r="A27" s="158" t="s">
        <v>138</v>
      </c>
      <c r="B27" s="159"/>
      <c r="C27" s="159" t="n">
        <f>SUM(C23:C26)</f>
        <v>-14000</v>
      </c>
      <c r="D27" s="159" t="n">
        <f>SUM(D23:D26)</f>
        <v>-14000</v>
      </c>
      <c r="E27" s="159" t="n">
        <f>SUM(E23:E26)</f>
        <v>-15300</v>
      </c>
      <c r="F27" s="159" t="n">
        <f>SUM(F23:F26)</f>
        <v>-15800</v>
      </c>
      <c r="G27" s="103"/>
      <c r="H27" s="145"/>
      <c r="I27" s="145"/>
      <c r="J27" s="104"/>
    </row>
    <row r="28" ht="23" customHeight="1">
      <c r="A28" s="158" t="s">
        <v>139</v>
      </c>
      <c r="B28" s="159"/>
      <c r="C28" s="159" t="n">
        <f>SUM(C22,C27)</f>
        <v>-14000</v>
      </c>
      <c r="D28" s="159" t="n">
        <f>SUM(D22,D27)</f>
        <v>-14000</v>
      </c>
      <c r="E28" s="159" t="n">
        <f>SUM(E22,E27)</f>
        <v>-15300</v>
      </c>
      <c r="F28" s="159" t="n">
        <f>SUM(F22,F27)</f>
        <v>-15800</v>
      </c>
      <c r="G28" s="103"/>
      <c r="H28" s="145"/>
      <c r="I28" s="145"/>
      <c r="J28" s="104"/>
    </row>
    <row r="29" ht="21" customHeight="1">
      <c r="A29" s="102"/>
      <c r="B29" s="103"/>
      <c r="C29" s="103"/>
      <c r="D29" s="103"/>
      <c r="E29" s="103"/>
      <c r="F29" s="103"/>
      <c r="G29" s="103"/>
      <c r="H29" s="145"/>
      <c r="I29" s="145"/>
      <c r="J29" s="104"/>
    </row>
    <row r="30" ht="24" customHeight="1">
      <c r="A30" s="150" t="s">
        <v>140</v>
      </c>
      <c r="B30" s="151"/>
      <c r="C30" s="151"/>
      <c r="D30" s="151"/>
      <c r="E30" s="151"/>
      <c r="F30" s="151"/>
      <c r="G30" s="93"/>
      <c r="H30" s="103"/>
      <c r="I30" s="103"/>
      <c r="J30" s="104"/>
    </row>
    <row r="31" ht="21" customHeight="1">
      <c r="A31" s="102" t="str">
        <v>Net debt issued / (repaid)</v>
      </c>
      <c r="B31" s="103"/>
      <c r="C31" s="167" t="n">
        <f>SUM('Balance Sheet'!C41,'Balance Sheet'!C44)-SUM('Balance Sheet'!B41,'Balance Sheet'!B44)</f>
        <v>-8000</v>
      </c>
      <c r="D31" s="167" t="n">
        <f>SUM('Balance Sheet'!D41,'Balance Sheet'!D44)-SUM('Balance Sheet'!C41,'Balance Sheet'!C44)</f>
        <v>-8000</v>
      </c>
      <c r="E31" s="167" t="n">
        <f>SUM('Balance Sheet'!E41,'Balance Sheet'!E44)-SUM('Balance Sheet'!D41,'Balance Sheet'!D44)</f>
        <v>-8000</v>
      </c>
      <c r="F31" s="167" t="n">
        <f>SUM('Balance Sheet'!F41,'Balance Sheet'!F44)-SUM('Balance Sheet'!E41,'Balance Sheet'!E44)</f>
        <v>-8000</v>
      </c>
      <c r="G31" s="103"/>
      <c r="H31" s="103"/>
      <c r="I31" s="103"/>
      <c r="J31" s="104"/>
    </row>
    <row r="32" ht="30" customHeight="1">
      <c r="A32" s="102" t="str">
        <v>Equity issued / (dividends paid)</v>
      </c>
      <c r="B32" s="103"/>
      <c r="C32" s="166" t="n">
        <f>'Balance Sheet'!C49-'Balance Sheet'!B49-'Balance Sheet'!$I$9</f>
        <v>0</v>
      </c>
      <c r="D32" s="166" t="n">
        <f>'Balance Sheet'!D49-'Balance Sheet'!C49-'Balance Sheet'!$I$9</f>
        <v>0</v>
      </c>
      <c r="E32" s="166" t="n">
        <f>'Balance Sheet'!E49-'Balance Sheet'!D49-'Balance Sheet'!$I$9</f>
        <v>0</v>
      </c>
      <c r="F32" s="166" t="n">
        <f>'Balance Sheet'!F49-'Balance Sheet'!E49-'Balance Sheet'!$I$9</f>
        <v>0</v>
      </c>
      <c r="G32" s="103"/>
      <c r="H32" s="147" t="str">
        <v>https://zacharyvorsteg.com/?topic=finance#contact</v>
      </c>
      <c r="I32" s="103"/>
      <c r="J32" s="104"/>
    </row>
    <row r="33" ht="23" customHeight="1">
      <c r="A33" s="158" t="s">
        <v>141</v>
      </c>
      <c r="B33" s="159"/>
      <c r="C33" s="159" t="n">
        <f>SUM(C31:C32)</f>
        <v>-8000</v>
      </c>
      <c r="D33" s="159" t="n">
        <f>SUM(D31:D32)</f>
        <v>-8000</v>
      </c>
      <c r="E33" s="159" t="n">
        <f>SUM(E31:E32)</f>
        <v>-8000</v>
      </c>
      <c r="F33" s="159" t="n">
        <f>SUM(F31:F32)</f>
        <v>-8000</v>
      </c>
      <c r="G33" s="103"/>
      <c r="H33" s="103"/>
      <c r="I33" s="103"/>
      <c r="J33" s="104"/>
    </row>
    <row r="34" ht="21" customHeight="1">
      <c r="A34" s="102"/>
      <c r="B34" s="103"/>
      <c r="C34" s="103"/>
      <c r="D34" s="103"/>
      <c r="E34" s="103"/>
      <c r="F34" s="103"/>
      <c r="G34" s="103"/>
      <c r="H34" s="103"/>
      <c r="I34" s="103"/>
      <c r="J34" s="104"/>
    </row>
    <row r="35" ht="23" customHeight="1">
      <c r="A35" s="158" t="s">
        <v>142</v>
      </c>
      <c r="B35" s="159"/>
      <c r="C35" s="159" t="n">
        <f>C19+C28+C33</f>
        <v>-8152.702399999987</v>
      </c>
      <c r="D35" s="159" t="n">
        <f>D19+D28+D33</f>
        <v>-5697.313088000028</v>
      </c>
      <c r="E35" s="159" t="n">
        <f>E19+E28+E33</f>
        <v>-4325.3293439999725</v>
      </c>
      <c r="F35" s="159" t="n">
        <f>F19+F28+F33</f>
        <v>-1887.5734719999564</v>
      </c>
      <c r="G35" s="103"/>
      <c r="H35" s="103"/>
      <c r="I35" s="103"/>
      <c r="J35" s="104"/>
    </row>
    <row r="36" ht="21" customHeight="1">
      <c r="A36" s="102" t="s">
        <v>143</v>
      </c>
      <c r="B36" s="106"/>
      <c r="C36" s="167" t="n">
        <f>'Balance Sheet'!B9</f>
        <v>28500</v>
      </c>
      <c r="D36" s="167" t="n">
        <f>'Balance Sheet'!C9</f>
        <v>20347.297600000013</v>
      </c>
      <c r="E36" s="167" t="n">
        <f>'Balance Sheet'!D9</f>
        <v>14649.984511999985</v>
      </c>
      <c r="F36" s="167" t="n">
        <f>'Balance Sheet'!E9</f>
        <v>10324.655168000012</v>
      </c>
      <c r="G36" s="103"/>
      <c r="H36" s="103"/>
      <c r="I36" s="103"/>
      <c r="J36" s="104"/>
    </row>
    <row r="37" ht="23" customHeight="1">
      <c r="A37" s="158" t="s">
        <v>144</v>
      </c>
      <c r="B37" s="176" t="n">
        <f>'Balance Sheet'!B9</f>
        <v>28500</v>
      </c>
      <c r="C37" s="175" t="n">
        <f>C36+C35</f>
        <v>20347.297600000013</v>
      </c>
      <c r="D37" s="175" t="n">
        <f>D36+D35</f>
        <v>14649.984511999985</v>
      </c>
      <c r="E37" s="175" t="n">
        <f>E36+E35</f>
        <v>10324.655168000012</v>
      </c>
      <c r="F37" s="175" t="n">
        <f>F36+F35</f>
        <v>8437.081696000056</v>
      </c>
      <c r="G37" s="103"/>
      <c r="H37" s="103"/>
      <c r="I37" s="103"/>
      <c r="J37" s="104"/>
    </row>
    <row r="38" ht="21" customHeight="1">
      <c r="A38" s="102"/>
      <c r="B38" s="103"/>
      <c r="C38" s="103"/>
      <c r="D38" s="103"/>
      <c r="E38" s="103"/>
      <c r="F38" s="103"/>
      <c r="G38" s="103"/>
      <c r="H38" s="103"/>
      <c r="I38" s="103"/>
      <c r="J38" s="104"/>
    </row>
    <row r="39" ht="21" customHeight="1">
      <c r="A39" s="102" t="s">
        <v>145</v>
      </c>
      <c r="B39" s="178" t="str">
        <v>n.a.</v>
      </c>
      <c r="C39" s="178" t="n">
        <f>ROUND('Balance Sheet'!C9-C37,8)</f>
        <v>0</v>
      </c>
      <c r="D39" s="178" t="n">
        <f>ROUND('Balance Sheet'!D9-D37,8)</f>
        <v>0</v>
      </c>
      <c r="E39" s="178" t="n">
        <f>ROUND('Balance Sheet'!E9-E37,8)</f>
        <v>0</v>
      </c>
      <c r="F39" s="178" t="n">
        <f>ROUND('Balance Sheet'!F9-F37,8)</f>
        <v>0</v>
      </c>
      <c r="G39" s="103"/>
      <c r="H39" s="103"/>
      <c r="I39" s="103"/>
      <c r="J39" s="104"/>
    </row>
    <row r="40" ht="21" customHeight="1">
      <c r="A40" s="102"/>
      <c r="B40" s="103"/>
      <c r="C40" s="103"/>
      <c r="D40" s="103"/>
      <c r="E40" s="103"/>
      <c r="F40" s="103"/>
      <c r="G40" s="103"/>
      <c r="H40" s="103"/>
      <c r="I40" s="103"/>
      <c r="J40" s="104"/>
    </row>
    <row r="41" ht="21" customHeight="1">
      <c r="A41" s="102"/>
      <c r="B41" s="103"/>
      <c r="C41" s="103"/>
      <c r="D41" s="103"/>
      <c r="E41" s="103"/>
      <c r="F41" s="103"/>
      <c r="G41" s="103"/>
      <c r="H41" s="103"/>
      <c r="I41" s="103"/>
      <c r="J41" s="104"/>
    </row>
    <row r="42" ht="21" customHeight="1">
      <c r="A42" s="109"/>
      <c r="B42" s="110"/>
      <c r="C42" s="110"/>
      <c r="D42" s="110"/>
      <c r="E42" s="110"/>
      <c r="F42" s="110"/>
      <c r="G42" s="110"/>
      <c r="H42" s="110"/>
      <c r="I42" s="110"/>
      <c r="J42" s="111"/>
    </row>
  </sheetData>
  <mergeCells>
    <mergeCell ref="A1:F1"/>
    <mergeCell ref="H5:I5"/>
    <mergeCell ref="H7:I11"/>
    <mergeCell ref="H13:I17"/>
    <mergeCell ref="H19:I23"/>
    <mergeCell ref="H26:I29"/>
  </mergeCells>
  <conditionalFormatting sqref="C39:F39">
    <cfRule type="expression" dxfId="1" priority="1">
      <formula>ABS(C39)&gt;0.01</formula>
    </cfRule>
  </conditionalFormatting>
  <hyperlinks>
    <hyperlink ref="H32" r:id="rIdFinanceContact0" tooltip="Discuss your model with Zach"/>
  </hyperlinks>
  <printOptions horizontalCentered="1" gridLines="0" headings="0"/>
  <pageMargins left="0.3" right="0.3" top="0.4" bottom="0.4" header="0.15" footer="0.2"/>
  <pageSetup paperSize="1" orientation="landscape" fitToWidth="1" fitToHeight="0"/>
  <headerFooter>
    <oddFooter>&amp;LZachary Vorsteg | Illustrative model&amp;RPage &amp;P of &amp;N</oddFooter>
  </headerFooter>
</worksheet>
</file>