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1f9881c2f458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Dashboard" sheetId="1" r:id="Rc58a4bf7ca974a4a"/>
    <sheet name="Assumptions" sheetId="2" r:id="R4015fdd92e5e4e3a"/>
    <sheet name="Pro Forma P&amp;L" sheetId="3" r:id="Rafa94a79dd12410e"/>
    <sheet name="Debt Schedule" sheetId="4" r:id="R8ab043058e08431b"/>
    <sheet name="Returns" sheetId="5" r:id="R0b6aa524bd6f4728"/>
  </sheets>
  <definedNames>
    <definedName name="_xlnm.Print_Area" localSheetId="0">'Dashboard'!$A$1:$D$29</definedName>
    <definedName name="_xlnm.Print_Area" localSheetId="1">'Assumptions'!$A$1:$G$43</definedName>
    <definedName name="_xlnm.Print_Titles" localSheetId="1">'Assumptions'!$1:$2</definedName>
    <definedName name="_xlnm.Print_Area" localSheetId="2">'Pro Forma P&amp;L'!$A$1:$G$27</definedName>
    <definedName name="_xlnm.Print_Titles" localSheetId="2">'Pro Forma P&amp;L'!$1:$3</definedName>
    <definedName name="_xlnm.Print_Area" localSheetId="3">'Debt Schedule'!$A$1:$G$17</definedName>
    <definedName name="_xlnm.Print_Titles" localSheetId="3">'Debt Schedule'!$1:$3</definedName>
    <definedName name="_xlnm.Print_Area" localSheetId="4">'Returns'!$A$1:$G$29</definedName>
    <definedName name="_xlnm.Print_Titles" localSheetId="4">'Returns'!$1:$3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164" formatCode="0.0%"/>
    <x:numFmt numFmtId="165" formatCode="0.0"/>
    <x:numFmt numFmtId="166" formatCode="0.0x"/>
    <x:numFmt numFmtId="200" formatCode="#,##0;(#,##0);&quot;-&quot;"/>
    <x:numFmt numFmtId="201" formatCode="0.0&quot;x&quot;"/>
    <x:numFmt numFmtId="202" formatCode="0.0%;(0.0%);&quot;-&quot;"/>
    <x:numFmt numFmtId="203" formatCode="0.00;(0.00);0.00"/>
  </x:numFmts>
  <x:fonts count="17">
    <x:font>
      <x:sz val="11"/>
      <x:color theme="1"/>
      <x:name val="Calibri"/>
    </x:font>
    <x:font>
      <x:b/>
      <x:sz val="14"/>
    </x:font>
    <x:font>
      <x:b/>
      <x:color rgb="FFFFFFFF"/>
    </x:font>
    <x:font>
      <x:b/>
    </x:font>
    <x:font>
      <x:b/>
      <x:sz val="12"/>
    </x:font>
    <x:font>
      <x:b/>
      <x:sz val="16"/>
    </x:font>
    <x:font>
      <x:sz val="10"/>
      <x:color rgb="FF19312D"/>
      <x:name val="Arial"/>
    </x:font>
    <x:font>
      <x:b/>
      <x:sz val="16"/>
      <x:color rgb="FF19312D"/>
      <x:name val="Arial"/>
    </x:font>
    <x:font>
      <x:i/>
      <x:sz val="10"/>
      <x:color rgb="FF536963"/>
      <x:name val="Arial"/>
    </x:font>
    <x:font>
      <x:sz val="10"/>
      <x:color rgb="FF536963"/>
      <x:name val="Arial"/>
    </x:font>
    <x:font>
      <x:sz val="9"/>
      <x:color rgb="FF0060BE"/>
      <x:name val="Arial"/>
    </x:font>
    <x:font>
      <x:b/>
      <x:sz val="10"/>
      <x:color rgb="FFFFFFFF"/>
      <x:name val="Arial"/>
    </x:font>
    <x:font>
      <x:b/>
      <x:sz val="10"/>
      <x:color rgb="FF19312D"/>
      <x:name val="Arial"/>
    </x:font>
    <x:font>
      <x:sz val="10"/>
      <x:color rgb="FF0060BE"/>
      <x:name val="Arial"/>
    </x:font>
    <x:font>
      <x:sz val="10"/>
      <x:color rgb="FF28694E"/>
      <x:name val="Arial"/>
    </x:font>
    <x:font>
      <x:b/>
      <x:sz val="10"/>
      <x:color rgb="FF28694E"/>
      <x:name val="Arial"/>
    </x:font>
    <x:font>
      <x:i/>
      <x:sz val="10"/>
      <x:color rgb="FF19312D"/>
      <x:name val="Arial"/>
    </x:font>
  </x:fonts>
  <x:fills count="10">
    <x:fill>
      <x:patternFill patternType="none"/>
    </x:fill>
    <x:fill>
      <x:patternFill patternType="gray125"/>
    </x:fill>
    <x:fill>
      <x:patternFill patternType="solid">
        <x:fgColor rgb="FFFFFF00"/>
      </x:patternFill>
    </x:fill>
    <x:fill>
      <x:patternFill patternType="solid">
        <x:fgColor rgb="FF4F81BD"/>
      </x:patternFill>
    </x:fill>
    <x:fill>
      <x:patternFill patternType="solid">
        <x:fgColor rgb="FFDCE6F1"/>
      </x:patternFill>
    </x:fill>
    <x:fill>
      <x:patternFill patternType="solid">
        <x:fgColor rgb="FF366092"/>
      </x:patternFill>
    </x:fill>
    <x:fill>
      <x:patternFill patternType="solid">
        <x:fgColor rgb="FFF8F8F5"/>
      </x:patternFill>
    </x:fill>
    <x:fill>
      <x:patternFill patternType="solid">
        <x:fgColor rgb="FF19312D"/>
      </x:patternFill>
    </x:fill>
    <x:fill>
      <x:patternFill patternType="solid">
        <x:fgColor rgb="FFE2EBE6"/>
      </x:patternFill>
    </x:fill>
    <x:fill>
      <x:patternFill patternType="solid">
        <x:fgColor rgb="FFE8F1FA"/>
      </x:patternFill>
    </x:fill>
  </x:fills>
  <x:borders count="14">
    <x:border/>
    <x:border diagonalUp="0" diagonalDown="0">
      <x:left style="none"/>
      <x:top style="none"/>
    </x:border>
    <x:border diagonalUp="0" diagonalDown="0">
      <x:top style="none"/>
    </x:border>
    <x:border diagonalUp="0" diagonalDown="0">
      <x:right style="none"/>
      <x:top style="none"/>
    </x:border>
    <x:border diagonalUp="0" diagonalDown="0">
      <x:left style="none"/>
    </x:border>
    <x:border diagonalUp="0" diagonalDown="0"/>
    <x:border diagonalUp="0" diagonalDown="0">
      <x:right style="none"/>
    </x:border>
    <x:border diagonalUp="0" diagonalDown="0">
      <x:left style="none"/>
      <x:bottom style="none"/>
    </x:border>
    <x:border diagonalUp="0" diagonalDown="0">
      <x:bottom style="none"/>
    </x:border>
    <x:border diagonalUp="0" diagonalDown="0">
      <x:right style="none"/>
      <x:bottom style="none"/>
    </x:border>
    <x:border diagonalUp="0" diagonalDown="0">
      <x:left style="none"/>
      <x:top style="none"/>
      <x:bottom style="thin">
        <x:color rgb="FF19312D"/>
      </x:bottom>
    </x:border>
    <x:border diagonalUp="0" diagonalDown="0">
      <x:top style="none"/>
      <x:bottom style="thin">
        <x:color rgb="FF19312D"/>
      </x:bottom>
    </x:border>
    <x:border diagonalUp="0" diagonalDown="0">
      <x:left style="none"/>
      <x:top style="thin">
        <x:color rgb="FFCBD9D2"/>
      </x:top>
    </x:border>
    <x:border diagonalUp="0" diagonalDown="0">
      <x:top style="thin">
        <x:color rgb="FFCBD9D2"/>
      </x:top>
    </x:border>
  </x:borders>
  <x:cellStyleXfs count="1">
    <x:xf numFmtId="0" fontId="0" fillId="0" borderId="0"/>
  </x:cellStyleXfs>
  <x:cellXfs count="166">
    <x:xf numFmtId="0" fontId="0" fillId="0" borderId="0" xfId="0"/>
    <x:xf numFmtId="0" fontId="5" fillId="0" borderId="0" xfId="0"/>
    <x:xf numFmtId="0" fontId="2" fillId="3" borderId="0" xfId="0"/>
    <x:xf numFmtId="164" fontId="1" fillId="4" borderId="0" xfId="0"/>
    <x:xf numFmtId="166" fontId="1" fillId="4" borderId="0" xfId="0"/>
    <x:xf numFmtId="166" fontId="0" fillId="0" borderId="0" xfId="0"/>
    <x:xf numFmtId="3" fontId="0" fillId="0" borderId="0" xfId="0"/>
    <x:xf numFmtId="3" fontId="3" fillId="4" borderId="0" xfId="0"/>
    <x:xf numFmtId="0" fontId="1" fillId="0" borderId="0" xfId="0"/>
    <x:xf numFmtId="3" fontId="0" fillId="2" borderId="0" xfId="0"/>
    <x:xf numFmtId="164" fontId="0" fillId="2" borderId="0" xfId="0"/>
    <x:xf numFmtId="1" fontId="0" fillId="2" borderId="0" xfId="0"/>
    <x:xf numFmtId="165" fontId="0" fillId="2" borderId="0" xfId="0"/>
    <x:xf numFmtId="0" fontId="2" fillId="3" borderId="0" xfId="0" applyAlignment="1">
      <x:alignment horizontal="center"/>
    </x:xf>
    <x:xf numFmtId="0" fontId="3" fillId="0" borderId="0" xfId="0"/>
    <x:xf numFmtId="164" fontId="0" fillId="0" borderId="0" xfId="0"/>
    <x:xf numFmtId="3" fontId="3" fillId="0" borderId="0" xfId="0"/>
    <x:xf numFmtId="165" fontId="0" fillId="0" borderId="0" xfId="0"/>
    <x:xf numFmtId="3" fontId="2" fillId="5" borderId="0" xfId="0"/>
    <x:xf numFmtId="166" fontId="4" fillId="4" borderId="0" xfId="0"/>
    <x:xf numFmtId="164" fontId="4" fillId="4" borderId="0" xfId="0"/>
    <x:xf numFmtId="0" fontId="5" fillId="6" borderId="0" xfId="0" applyNumberFormat="1" applyFont="1" applyFill="1" applyBorder="1"/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164" fontId="1" fillId="6" borderId="0" xfId="0" applyNumberFormat="1" applyFont="1" applyFill="1" applyBorder="1"/>
    <x:xf numFmtId="166" fontId="1" fillId="6" borderId="0" xfId="0" applyNumberFormat="1" applyFont="1" applyFill="1" applyBorder="1"/>
    <x:xf numFmtId="166" fontId="0" fillId="6" borderId="0" xfId="0" applyNumberFormat="1" applyFont="1" applyFill="1" applyBorder="1"/>
    <x:xf numFmtId="3" fontId="0" fillId="6" borderId="0" xfId="0" applyNumberFormat="1" applyFont="1" applyFill="1" applyBorder="1"/>
    <x:xf numFmtId="3" fontId="3" fillId="6" borderId="0" xfId="0" applyNumberFormat="1" applyFont="1" applyFill="1" applyBorder="1"/>
    <x:xf numFmtId="0" fontId="6" fillId="6" borderId="0" xfId="0" applyNumberFormat="1" applyFont="1" applyFill="1" applyBorder="1"/>
    <x:xf numFmtId="164" fontId="6" fillId="6" borderId="0" xfId="0" applyNumberFormat="1" applyFont="1" applyFill="1" applyBorder="1"/>
    <x:xf numFmtId="166" fontId="6" fillId="6" borderId="0" xfId="0" applyNumberFormat="1" applyFont="1" applyFill="1" applyBorder="1"/>
    <x:xf numFmtId="3" fontId="6" fillId="6" borderId="0" xfId="0" applyNumberFormat="1" applyFont="1" applyFill="1" applyBorder="1"/>
    <x:xf numFmtId="0" fontId="6" fillId="6" borderId="1" xfId="0" applyNumberFormat="1" applyFont="1" applyFill="1" applyBorder="1"/>
    <x:xf numFmtId="0" fontId="6" fillId="6" borderId="2" xfId="0" applyNumberFormat="1" applyFont="1" applyFill="1" applyBorder="1"/>
    <x:xf numFmtId="0" fontId="6" fillId="6" borderId="3" xfId="0" applyNumberFormat="1" applyFont="1" applyFill="1" applyBorder="1"/>
    <x:xf numFmtId="0" fontId="6" fillId="6" borderId="4" xfId="0" applyNumberFormat="1" applyFont="1" applyFill="1" applyBorder="1"/>
    <x:xf numFmtId="0" fontId="6" fillId="6" borderId="5" xfId="0" applyNumberFormat="1" applyFont="1" applyFill="1" applyBorder="1"/>
    <x:xf numFmtId="0" fontId="6" fillId="6" borderId="6" xfId="0" applyNumberFormat="1" applyFont="1" applyFill="1" applyBorder="1"/>
    <x:xf numFmtId="164" fontId="6" fillId="6" borderId="5" xfId="0" applyNumberFormat="1" applyFont="1" applyFill="1" applyBorder="1"/>
    <x:xf numFmtId="166" fontId="6" fillId="6" borderId="5" xfId="0" applyNumberFormat="1" applyFont="1" applyFill="1" applyBorder="1"/>
    <x:xf numFmtId="3" fontId="6" fillId="6" borderId="5" xfId="0" applyNumberFormat="1" applyFont="1" applyFill="1" applyBorder="1"/>
    <x:xf numFmtId="0" fontId="6" fillId="6" borderId="7" xfId="0" applyNumberFormat="1" applyFont="1" applyFill="1" applyBorder="1"/>
    <x:xf numFmtId="0" fontId="6" fillId="6" borderId="8" xfId="0" applyNumberFormat="1" applyFont="1" applyFill="1" applyBorder="1"/>
    <x:xf numFmtId="0" fontId="6" fillId="6" borderId="9" xfId="0" applyNumberFormat="1" applyFont="1" applyFill="1" applyBorder="1"/>
    <x:xf numFmtId="200" fontId="6" fillId="6" borderId="1" xfId="0" applyNumberFormat="1" applyFont="1" applyFill="1" applyBorder="1"/>
    <x:xf numFmtId="200" fontId="6" fillId="6" borderId="2" xfId="0" applyNumberFormat="1" applyFont="1" applyFill="1" applyBorder="1"/>
    <x:xf numFmtId="200" fontId="6" fillId="6" borderId="3" xfId="0" applyNumberFormat="1" applyFont="1" applyFill="1" applyBorder="1"/>
    <x:xf numFmtId="200" fontId="6" fillId="6" borderId="4" xfId="0" applyNumberFormat="1" applyFont="1" applyFill="1" applyBorder="1"/>
    <x:xf numFmtId="200" fontId="6" fillId="6" borderId="5" xfId="0" applyNumberFormat="1" applyFont="1" applyFill="1" applyBorder="1"/>
    <x:xf numFmtId="200" fontId="6" fillId="6" borderId="6" xfId="0" applyNumberFormat="1" applyFont="1" applyFill="1" applyBorder="1"/>
    <x:xf numFmtId="200" fontId="6" fillId="6" borderId="7" xfId="0" applyNumberFormat="1" applyFont="1" applyFill="1" applyBorder="1"/>
    <x:xf numFmtId="200" fontId="6" fillId="6" borderId="8" xfId="0" applyNumberFormat="1" applyFont="1" applyFill="1" applyBorder="1"/>
    <x:xf numFmtId="200" fontId="6" fillId="6" borderId="9" xfId="0" applyNumberFormat="1" applyFont="1" applyFill="1" applyBorder="1"/>
    <x:xf numFmtId="200" fontId="6" fillId="6" borderId="1" xfId="0" applyNumberFormat="1" applyFont="1" applyFill="1" applyBorder="1" applyAlignment="1">
      <x:alignment wrapText="0"/>
    </x:xf>
    <x:xf numFmtId="200" fontId="6" fillId="6" borderId="2" xfId="0" applyNumberFormat="1" applyFont="1" applyFill="1" applyBorder="1" applyAlignment="1">
      <x:alignment wrapText="0"/>
    </x:xf>
    <x:xf numFmtId="200" fontId="6" fillId="6" borderId="3" xfId="0" applyNumberFormat="1" applyFont="1" applyFill="1" applyBorder="1" applyAlignment="1">
      <x:alignment wrapText="0"/>
    </x:xf>
    <x:xf numFmtId="200" fontId="6" fillId="6" borderId="4" xfId="0" applyNumberFormat="1" applyFont="1" applyFill="1" applyBorder="1" applyAlignment="1">
      <x:alignment wrapText="0"/>
    </x:xf>
    <x:xf numFmtId="200" fontId="6" fillId="6" borderId="5" xfId="0" applyNumberFormat="1" applyFont="1" applyFill="1" applyBorder="1" applyAlignment="1">
      <x:alignment wrapText="0"/>
    </x:xf>
    <x:xf numFmtId="200" fontId="6" fillId="6" borderId="6" xfId="0" applyNumberFormat="1" applyFont="1" applyFill="1" applyBorder="1" applyAlignment="1">
      <x:alignment wrapText="0"/>
    </x:xf>
    <x:xf numFmtId="200" fontId="6" fillId="6" borderId="7" xfId="0" applyNumberFormat="1" applyFont="1" applyFill="1" applyBorder="1" applyAlignment="1">
      <x:alignment wrapText="0"/>
    </x:xf>
    <x:xf numFmtId="200" fontId="6" fillId="6" borderId="8" xfId="0" applyNumberFormat="1" applyFont="1" applyFill="1" applyBorder="1" applyAlignment="1">
      <x:alignment wrapText="0"/>
    </x:xf>
    <x:xf numFmtId="200" fontId="6" fillId="6" borderId="9" xfId="0" applyNumberFormat="1" applyFont="1" applyFill="1" applyBorder="1" applyAlignment="1">
      <x:alignment wrapText="0"/>
    </x:xf>
    <x:xf numFmtId="200" fontId="6" fillId="6" borderId="1" xfId="0" applyNumberFormat="1" applyFont="1" applyFill="1" applyBorder="1" applyAlignment="1">
      <x:alignment vertical="center" wrapText="0"/>
    </x:xf>
    <x:xf numFmtId="200" fontId="6" fillId="6" borderId="2" xfId="0" applyNumberFormat="1" applyFont="1" applyFill="1" applyBorder="1" applyAlignment="1">
      <x:alignment vertical="center" wrapText="0"/>
    </x:xf>
    <x:xf numFmtId="200" fontId="6" fillId="6" borderId="3" xfId="0" applyNumberFormat="1" applyFont="1" applyFill="1" applyBorder="1" applyAlignment="1">
      <x:alignment vertical="center" wrapText="0"/>
    </x:xf>
    <x:xf numFmtId="200" fontId="6" fillId="6" borderId="4" xfId="0" applyNumberFormat="1" applyFont="1" applyFill="1" applyBorder="1" applyAlignment="1">
      <x:alignment vertical="center" wrapText="0"/>
    </x:xf>
    <x:xf numFmtId="200" fontId="6" fillId="6" borderId="5" xfId="0" applyNumberFormat="1" applyFont="1" applyFill="1" applyBorder="1" applyAlignment="1">
      <x:alignment vertical="center" wrapText="0"/>
    </x:xf>
    <x:xf numFmtId="200" fontId="6" fillId="6" borderId="6" xfId="0" applyNumberFormat="1" applyFont="1" applyFill="1" applyBorder="1" applyAlignment="1">
      <x:alignment vertical="center" wrapText="0"/>
    </x:xf>
    <x:xf numFmtId="200" fontId="6" fillId="6" borderId="7" xfId="0" applyNumberFormat="1" applyFont="1" applyFill="1" applyBorder="1" applyAlignment="1">
      <x:alignment vertical="center" wrapText="0"/>
    </x:xf>
    <x:xf numFmtId="200" fontId="6" fillId="6" borderId="8" xfId="0" applyNumberFormat="1" applyFont="1" applyFill="1" applyBorder="1" applyAlignment="1">
      <x:alignment vertical="center" wrapText="0"/>
    </x:xf>
    <x:xf numFmtId="200" fontId="6" fillId="6" borderId="9" xfId="0" applyNumberFormat="1" applyFont="1" applyFill="1" applyBorder="1" applyAlignment="1">
      <x:alignment vertical="center" wrapText="0"/>
    </x:xf>
    <x:xf numFmtId="200" fontId="7" fillId="6" borderId="1" xfId="0" applyNumberFormat="1" applyFont="1" applyFill="1" applyBorder="1" applyAlignment="1">
      <x:alignment vertical="center" wrapText="0"/>
    </x:xf>
    <x:xf numFmtId="200" fontId="7" fillId="6" borderId="2" xfId="0" applyNumberFormat="1" applyFont="1" applyFill="1" applyBorder="1" applyAlignment="1">
      <x:alignment vertical="center" wrapText="0"/>
    </x:xf>
    <x:xf numFmtId="200" fontId="7" fillId="6" borderId="3" xfId="0" applyNumberFormat="1" applyFont="1" applyFill="1" applyBorder="1" applyAlignment="1">
      <x:alignment vertical="center" wrapText="0"/>
    </x:xf>
    <x:xf numFmtId="200" fontId="7" fillId="6" borderId="10" xfId="0" applyNumberFormat="1" applyFont="1" applyFill="1" applyBorder="1" applyAlignment="1">
      <x:alignment vertical="center" wrapText="0"/>
    </x:xf>
    <x:xf numFmtId="200" fontId="7" fillId="6" borderId="11" xfId="0" applyNumberFormat="1" applyFont="1" applyFill="1" applyBorder="1" applyAlignment="1">
      <x:alignment vertical="center" wrapText="0"/>
    </x:xf>
    <x:xf numFmtId="200" fontId="7" fillId="6" borderId="10" xfId="0" applyNumberFormat="1" applyFont="1" applyFill="1" applyBorder="1" applyAlignment="1">
      <x:alignment horizontal="left" vertical="center" wrapText="0"/>
    </x:xf>
    <x:xf numFmtId="200" fontId="7" fillId="6" borderId="11" xfId="0" applyNumberFormat="1" applyFont="1" applyFill="1" applyBorder="1" applyAlignment="1">
      <x:alignment horizontal="left" vertical="center" wrapText="0"/>
    </x:xf>
    <x:xf numFmtId="200" fontId="8" fillId="6" borderId="4" xfId="0" applyNumberFormat="1" applyFont="1" applyFill="1" applyBorder="1" applyAlignment="1">
      <x:alignment vertical="center" wrapText="0"/>
    </x:xf>
    <x:xf numFmtId="200" fontId="8" fillId="6" borderId="5" xfId="0" applyNumberFormat="1" applyFont="1" applyFill="1" applyBorder="1" applyAlignment="1">
      <x:alignment vertical="center" wrapText="0"/>
    </x:xf>
    <x:xf numFmtId="200" fontId="8" fillId="6" borderId="6" xfId="0" applyNumberFormat="1" applyFont="1" applyFill="1" applyBorder="1" applyAlignment="1">
      <x:alignment vertical="center" wrapText="0"/>
    </x:xf>
    <x:xf numFmtId="200" fontId="8" fillId="6" borderId="4" xfId="0" applyNumberFormat="1" applyFont="1" applyFill="1" applyBorder="1" applyAlignment="1">
      <x:alignment horizontal="left" vertical="center" wrapText="0"/>
    </x:xf>
    <x:xf numFmtId="200" fontId="8" fillId="6" borderId="5" xfId="0" applyNumberFormat="1" applyFont="1" applyFill="1" applyBorder="1" applyAlignment="1">
      <x:alignment horizontal="left" vertical="center" wrapText="0"/>
    </x:xf>
    <x:xf numFmtId="200" fontId="8" fillId="6" borderId="6" xfId="0" applyNumberFormat="1" applyFont="1" applyFill="1" applyBorder="1" applyAlignment="1">
      <x:alignment horizontal="left" vertical="center" wrapText="0"/>
    </x:xf>
    <x:xf numFmtId="0" fontId="1" fillId="6" borderId="0" xfId="0" applyNumberFormat="1" applyFont="1" applyFill="1" applyBorder="1"/>
    <x:xf numFmtId="164" fontId="0" fillId="6" borderId="0" xfId="0" applyNumberFormat="1" applyFont="1" applyFill="1" applyBorder="1"/>
    <x:xf numFmtId="1" fontId="0" fillId="6" borderId="0" xfId="0" applyNumberFormat="1" applyFont="1" applyFill="1" applyBorder="1"/>
    <x:xf numFmtId="165" fontId="0" fillId="6" borderId="0" xfId="0" applyNumberFormat="1" applyFont="1" applyFill="1" applyBorder="1"/>
    <x:xf numFmtId="1" fontId="6" fillId="6" borderId="0" xfId="0" applyNumberFormat="1" applyFont="1" applyFill="1" applyBorder="1"/>
    <x:xf numFmtId="165" fontId="6" fillId="6" borderId="0" xfId="0" applyNumberFormat="1" applyFont="1" applyFill="1" applyBorder="1"/>
    <x:xf numFmtId="1" fontId="6" fillId="6" borderId="5" xfId="0" applyNumberFormat="1" applyFont="1" applyFill="1" applyBorder="1"/>
    <x:xf numFmtId="165" fontId="6" fillId="6" borderId="5" xfId="0" applyNumberFormat="1" applyFont="1" applyFill="1" applyBorder="1"/>
    <x:xf numFmtId="0" fontId="2" fillId="6" borderId="0" xfId="0" applyNumberFormat="1" applyFont="1" applyFill="1" applyBorder="1" applyAlignment="1">
      <x:alignment horizontal="center"/>
    </x:xf>
    <x:xf numFmtId="0" fontId="3" fillId="6" borderId="0" xfId="0" applyNumberFormat="1" applyFont="1" applyFill="1" applyBorder="1"/>
    <x:xf numFmtId="0" fontId="6" fillId="6" borderId="0" xfId="0" applyNumberFormat="1" applyFont="1" applyFill="1" applyBorder="1" applyAlignment="1">
      <x:alignment horizontal="center"/>
    </x:xf>
    <x:xf numFmtId="0" fontId="6" fillId="6" borderId="4" xfId="0" applyNumberFormat="1" applyFont="1" applyFill="1" applyBorder="1" applyAlignment="1">
      <x:alignment horizontal="center"/>
    </x:xf>
    <x:xf numFmtId="0" fontId="6" fillId="6" borderId="5" xfId="0" applyNumberFormat="1" applyFont="1" applyFill="1" applyBorder="1" applyAlignment="1">
      <x:alignment horizontal="center"/>
    </x:xf>
    <x:xf numFmtId="0" fontId="6" fillId="6" borderId="6" xfId="0" applyNumberFormat="1" applyFont="1" applyFill="1" applyBorder="1" applyAlignment="1">
      <x:alignment horizontal="center"/>
    </x:xf>
    <x:xf numFmtId="3" fontId="6" fillId="6" borderId="6" xfId="0" applyNumberFormat="1" applyFont="1" applyFill="1" applyBorder="1"/>
    <x:xf numFmtId="164" fontId="6" fillId="6" borderId="6" xfId="0" applyNumberFormat="1" applyFont="1" applyFill="1" applyBorder="1"/>
    <x:xf numFmtId="200" fontId="6" fillId="6" borderId="4" xfId="0" applyNumberFormat="1" applyFont="1" applyFill="1" applyBorder="1" applyAlignment="1">
      <x:alignment horizontal="center"/>
    </x:xf>
    <x:xf numFmtId="200" fontId="6" fillId="6" borderId="5" xfId="0" applyNumberFormat="1" applyFont="1" applyFill="1" applyBorder="1" applyAlignment="1">
      <x:alignment horizontal="center"/>
    </x:xf>
    <x:xf numFmtId="200" fontId="6" fillId="6" borderId="6" xfId="0" applyNumberFormat="1" applyFont="1" applyFill="1" applyBorder="1" applyAlignment="1">
      <x:alignment horizontal="center"/>
    </x:xf>
    <x:xf numFmtId="200" fontId="6" fillId="6" borderId="4" xfId="0" applyNumberFormat="1" applyFont="1" applyFill="1" applyBorder="1" applyAlignment="1">
      <x:alignment horizontal="center" wrapText="0"/>
    </x:xf>
    <x:xf numFmtId="200" fontId="6" fillId="6" borderId="5" xfId="0" applyNumberFormat="1" applyFont="1" applyFill="1" applyBorder="1" applyAlignment="1">
      <x:alignment horizontal="center" wrapText="0"/>
    </x:xf>
    <x:xf numFmtId="200" fontId="6" fillId="6" borderId="6" xfId="0" applyNumberFormat="1" applyFont="1" applyFill="1" applyBorder="1" applyAlignment="1">
      <x:alignment horizontal="center" wrapText="0"/>
    </x:xf>
    <x:xf numFmtId="200" fontId="6" fillId="6" borderId="4" xfId="0" applyNumberFormat="1" applyFont="1" applyFill="1" applyBorder="1" applyAlignment="1">
      <x:alignment horizontal="center" vertical="center" wrapText="0"/>
    </x:xf>
    <x:xf numFmtId="200" fontId="6" fillId="6" borderId="5" xfId="0" applyNumberFormat="1" applyFont="1" applyFill="1" applyBorder="1" applyAlignment="1">
      <x:alignment horizontal="center" vertical="center" wrapText="0"/>
    </x:xf>
    <x:xf numFmtId="200" fontId="6" fillId="6" borderId="6" xfId="0" applyNumberFormat="1" applyFont="1" applyFill="1" applyBorder="1" applyAlignment="1">
      <x:alignment horizontal="center" vertical="center" wrapText="0"/>
    </x:xf>
    <x:xf numFmtId="166" fontId="6" fillId="6" borderId="6" xfId="0" applyNumberFormat="1" applyFont="1" applyFill="1" applyBorder="1"/>
    <x:xf numFmtId="3" fontId="2" fillId="6" borderId="0" xfId="0" applyNumberFormat="1" applyFont="1" applyFill="1" applyBorder="1"/>
    <x:xf numFmtId="166" fontId="4" fillId="6" borderId="0" xfId="0" applyNumberFormat="1" applyFont="1" applyFill="1" applyBorder="1"/>
    <x:xf numFmtId="164" fontId="4" fillId="6" borderId="0" xfId="0" applyNumberFormat="1" applyFont="1" applyFill="1" applyBorder="1"/>
    <x:xf numFmtId="165" fontId="6" fillId="6" borderId="6" xfId="0" applyNumberFormat="1" applyFont="1" applyFill="1" applyBorder="1"/>
    <x:xf numFmtId="200" fontId="9" fillId="6" borderId="5" xfId="0" applyNumberFormat="1" applyFont="1" applyFill="1" applyBorder="1" applyAlignment="1">
      <x:alignment vertical="center" wrapText="0"/>
    </x:xf>
    <x:xf numFmtId="200" fontId="9" fillId="6" borderId="5" xfId="0" applyNumberFormat="1" applyFont="1" applyFill="1" applyBorder="1" applyAlignment="1">
      <x:alignment vertical="center" wrapText="1"/>
    </x:xf>
    <x:xf numFmtId="200" fontId="6" fillId="6" borderId="5" xfId="0" applyNumberFormat="1" applyFont="1" applyFill="1" applyBorder="1" applyAlignment="1">
      <x:alignment vertical="center" wrapText="1"/>
    </x:xf>
    <x:xf numFmtId="200" fontId="6" fillId="6" borderId="6" xfId="0" applyNumberFormat="1" applyFont="1" applyFill="1" applyBorder="1" applyAlignment="1">
      <x:alignment vertical="center" wrapText="1"/>
    </x:xf>
    <x:xf numFmtId="200" fontId="9" fillId="6" borderId="4" xfId="0" applyNumberFormat="1" applyFont="1" applyFill="1" applyBorder="1" applyAlignment="1">
      <x:alignment vertical="center" wrapText="0"/>
    </x:xf>
    <x:xf numFmtId="200" fontId="9" fillId="6" borderId="4" xfId="0" applyNumberFormat="1" applyFont="1" applyFill="1" applyBorder="1" applyAlignment="1">
      <x:alignment vertical="center" wrapText="1"/>
    </x:xf>
    <x:xf numFmtId="200" fontId="10" fillId="6" borderId="4" xfId="0" applyNumberFormat="1" applyFont="1" applyFill="1" applyBorder="1" applyAlignment="1">
      <x:alignment vertical="center" wrapText="0"/>
    </x:xf>
    <x:xf numFmtId="200" fontId="10" fillId="6" borderId="4" xfId="0" applyNumberFormat="1" applyFont="1" applyFill="1" applyBorder="1" applyAlignment="1">
      <x:alignment vertical="center" wrapText="1"/>
    </x:xf>
    <x:xf numFmtId="200" fontId="6" fillId="7" borderId="4" xfId="0" applyNumberFormat="1" applyFont="1" applyFill="1" applyBorder="1" applyAlignment="1">
      <x:alignment vertical="center" wrapText="0"/>
    </x:xf>
    <x:xf numFmtId="200" fontId="6" fillId="7" borderId="5" xfId="0" applyNumberFormat="1" applyFont="1" applyFill="1" applyBorder="1" applyAlignment="1">
      <x:alignment vertical="center" wrapText="0"/>
    </x:xf>
    <x:xf numFmtId="200" fontId="11" fillId="7" borderId="4" xfId="0" applyNumberFormat="1" applyFont="1" applyFill="1" applyBorder="1" applyAlignment="1">
      <x:alignment vertical="center" wrapText="0"/>
    </x:xf>
    <x:xf numFmtId="200" fontId="11" fillId="7" borderId="5" xfId="0" applyNumberFormat="1" applyFont="1" applyFill="1" applyBorder="1" applyAlignment="1">
      <x:alignment vertical="center" wrapText="0"/>
    </x:xf>
    <x:xf numFmtId="200" fontId="6" fillId="8" borderId="4" xfId="0" applyNumberFormat="1" applyFont="1" applyFill="1" applyBorder="1" applyAlignment="1">
      <x:alignment vertical="center" wrapText="0"/>
    </x:xf>
    <x:xf numFmtId="200" fontId="6" fillId="8" borderId="5" xfId="0" applyNumberFormat="1" applyFont="1" applyFill="1" applyBorder="1" applyAlignment="1">
      <x:alignment vertical="center" wrapText="0"/>
    </x:xf>
    <x:xf numFmtId="200" fontId="12" fillId="8" borderId="4" xfId="0" applyNumberFormat="1" applyFont="1" applyFill="1" applyBorder="1" applyAlignment="1">
      <x:alignment vertical="center" wrapText="0"/>
    </x:xf>
    <x:xf numFmtId="200" fontId="12" fillId="8" borderId="5" xfId="0" applyNumberFormat="1" applyFont="1" applyFill="1" applyBorder="1" applyAlignment="1">
      <x:alignment vertical="center" wrapText="0"/>
    </x:xf>
    <x:xf numFmtId="200" fontId="12" fillId="8" borderId="12" xfId="0" applyNumberFormat="1" applyFont="1" applyFill="1" applyBorder="1" applyAlignment="1">
      <x:alignment vertical="center" wrapText="0"/>
    </x:xf>
    <x:xf numFmtId="200" fontId="12" fillId="8" borderId="13" xfId="0" applyNumberFormat="1" applyFont="1" applyFill="1" applyBorder="1" applyAlignment="1">
      <x:alignment vertical="center" wrapText="0"/>
    </x:xf>
    <x:xf numFmtId="200" fontId="6" fillId="7" borderId="4" xfId="0" applyNumberFormat="1" applyFont="1" applyFill="1" applyBorder="1" applyAlignment="1">
      <x:alignment horizontal="center" vertical="center" wrapText="0"/>
    </x:xf>
    <x:xf numFmtId="200" fontId="6" fillId="7" borderId="5" xfId="0" applyNumberFormat="1" applyFont="1" applyFill="1" applyBorder="1" applyAlignment="1">
      <x:alignment horizontal="center" vertical="center" wrapText="0"/>
    </x:xf>
    <x:xf numFmtId="200" fontId="6" fillId="7" borderId="6" xfId="0" applyNumberFormat="1" applyFont="1" applyFill="1" applyBorder="1" applyAlignment="1">
      <x:alignment horizontal="center" vertical="center" wrapText="0"/>
    </x:xf>
    <x:xf numFmtId="200" fontId="11" fillId="7" borderId="4" xfId="0" applyNumberFormat="1" applyFont="1" applyFill="1" applyBorder="1" applyAlignment="1">
      <x:alignment horizontal="center" vertical="center" wrapText="0"/>
    </x:xf>
    <x:xf numFmtId="200" fontId="11" fillId="7" borderId="5" xfId="0" applyNumberFormat="1" applyFont="1" applyFill="1" applyBorder="1" applyAlignment="1">
      <x:alignment horizontal="center" vertical="center" wrapText="0"/>
    </x:xf>
    <x:xf numFmtId="200" fontId="11" fillId="7" borderId="6" xfId="0" applyNumberFormat="1" applyFont="1" applyFill="1" applyBorder="1" applyAlignment="1">
      <x:alignment horizontal="center" vertical="center" wrapText="0"/>
    </x:xf>
    <x:xf numFmtId="200" fontId="6" fillId="7" borderId="6" xfId="0" applyNumberFormat="1" applyFont="1" applyFill="1" applyBorder="1" applyAlignment="1">
      <x:alignment vertical="center" wrapText="0"/>
    </x:xf>
    <x:xf numFmtId="200" fontId="11" fillId="7" borderId="6" xfId="0" applyNumberFormat="1" applyFont="1" applyFill="1" applyBorder="1" applyAlignment="1">
      <x:alignment vertical="center" wrapText="0"/>
    </x:xf>
    <x:xf numFmtId="200" fontId="6" fillId="8" borderId="6" xfId="0" applyNumberFormat="1" applyFont="1" applyFill="1" applyBorder="1" applyAlignment="1">
      <x:alignment vertical="center" wrapText="0"/>
    </x:xf>
    <x:xf numFmtId="200" fontId="12" fillId="8" borderId="6" xfId="0" applyNumberFormat="1" applyFont="1" applyFill="1" applyBorder="1" applyAlignment="1">
      <x:alignment vertical="center" wrapText="0"/>
    </x:xf>
    <x:xf numFmtId="200" fontId="6" fillId="9" borderId="5" xfId="0" applyNumberFormat="1" applyFont="1" applyFill="1" applyBorder="1" applyAlignment="1">
      <x:alignment vertical="center" wrapText="0"/>
    </x:xf>
    <x:xf numFmtId="200" fontId="13" fillId="9" borderId="5" xfId="0" applyNumberFormat="1" applyFont="1" applyFill="1" applyBorder="1" applyAlignment="1">
      <x:alignment vertical="center" wrapText="0"/>
    </x:xf>
    <x:xf numFmtId="200" fontId="14" fillId="6" borderId="5" xfId="0" applyNumberFormat="1" applyFont="1" applyFill="1" applyBorder="1" applyAlignment="1">
      <x:alignment vertical="center" wrapText="0"/>
    </x:xf>
    <x:xf numFmtId="200" fontId="14" fillId="6" borderId="6" xfId="0" applyNumberFormat="1" applyFont="1" applyFill="1" applyBorder="1" applyAlignment="1">
      <x:alignment vertical="center" wrapText="0"/>
    </x:xf>
    <x:xf numFmtId="200" fontId="15" fillId="8" borderId="13" xfId="0" applyNumberFormat="1" applyFont="1" applyFill="1" applyBorder="1" applyAlignment="1">
      <x:alignment vertical="center" wrapText="0"/>
    </x:xf>
    <x:xf numFmtId="164" fontId="6" fillId="6" borderId="5" xfId="0" applyNumberFormat="1" applyFont="1" applyFill="1" applyBorder="1" applyAlignment="1">
      <x:alignment vertical="center" wrapText="0"/>
    </x:xf>
    <x:xf numFmtId="164" fontId="13" fillId="9" borderId="5" xfId="0" applyNumberFormat="1" applyFont="1" applyFill="1" applyBorder="1" applyAlignment="1">
      <x:alignment vertical="center" wrapText="0"/>
    </x:xf>
    <x:xf numFmtId="201" fontId="6" fillId="6" borderId="5" xfId="0" applyNumberFormat="1" applyFont="1" applyFill="1" applyBorder="1" applyAlignment="1">
      <x:alignment vertical="center" wrapText="0"/>
    </x:xf>
    <x:xf numFmtId="202" fontId="12" fillId="8" borderId="13" xfId="0" applyNumberFormat="1" applyFont="1" applyFill="1" applyBorder="1" applyAlignment="1">
      <x:alignment vertical="center" wrapText="0"/>
    </x:xf>
    <x:xf numFmtId="201" fontId="12" fillId="8" borderId="13" xfId="0" applyNumberFormat="1" applyFont="1" applyFill="1" applyBorder="1" applyAlignment="1">
      <x:alignment vertical="center" wrapText="0"/>
    </x:xf>
    <x:xf numFmtId="203" fontId="6" fillId="6" borderId="5" xfId="0" applyNumberFormat="1" applyFont="1" applyFill="1" applyBorder="1" applyAlignment="1">
      <x:alignment vertical="center" wrapText="0"/>
    </x:xf>
    <x:xf numFmtId="202" fontId="7" fillId="8" borderId="13" xfId="0" applyNumberFormat="1" applyFont="1" applyFill="1" applyBorder="1" applyAlignment="1">
      <x:alignment vertical="center" wrapText="0"/>
    </x:xf>
    <x:xf numFmtId="201" fontId="7" fillId="8" borderId="13" xfId="0" applyNumberFormat="1" applyFont="1" applyFill="1" applyBorder="1" applyAlignment="1">
      <x:alignment vertical="center" wrapText="0"/>
    </x:xf>
    <x:xf numFmtId="200" fontId="16" fillId="6" borderId="5" xfId="0" applyNumberFormat="1" applyFont="1" applyFill="1" applyBorder="1" applyAlignment="1">
      <x:alignment vertical="center" wrapText="0"/>
    </x:xf>
    <x:xf numFmtId="200" fontId="16" fillId="6" borderId="6" xfId="0" applyNumberFormat="1" applyFont="1" applyFill="1" applyBorder="1" applyAlignment="1">
      <x:alignment vertical="center" wrapText="0"/>
    </x:xf>
    <x:xf numFmtId="202" fontId="16" fillId="6" borderId="5" xfId="0" applyNumberFormat="1" applyFont="1" applyFill="1" applyBorder="1" applyAlignment="1">
      <x:alignment vertical="center" wrapText="0"/>
    </x:xf>
    <x:xf numFmtId="202" fontId="16" fillId="6" borderId="6" xfId="0" applyNumberFormat="1" applyFont="1" applyFill="1" applyBorder="1" applyAlignment="1">
      <x:alignment vertical="center" wrapText="0"/>
    </x:xf>
    <x:xf numFmtId="202" fontId="14" fillId="6" borderId="5" xfId="0" applyNumberFormat="1" applyFont="1" applyFill="1" applyBorder="1" applyAlignment="1">
      <x:alignment vertical="center" wrapText="0"/>
    </x:xf>
    <x:xf numFmtId="202" fontId="6" fillId="6" borderId="5" xfId="0" applyNumberFormat="1" applyFont="1" applyFill="1" applyBorder="1" applyAlignment="1">
      <x:alignment vertical="center" wrapText="0"/>
    </x:xf>
    <x:xf numFmtId="202" fontId="6" fillId="6" borderId="6" xfId="0" applyNumberFormat="1" applyFont="1" applyFill="1" applyBorder="1" applyAlignment="1">
      <x:alignment vertical="center" wrapText="0"/>
    </x:xf>
    <x:xf numFmtId="201" fontId="14" fillId="6" borderId="5" xfId="0" applyNumberFormat="1" applyFont="1" applyFill="1" applyBorder="1" applyAlignment="1">
      <x:alignment vertical="center" wrapText="0"/>
    </x:xf>
    <x:xf numFmtId="201" fontId="14" fillId="6" borderId="6" xfId="0" applyNumberFormat="1" applyFont="1" applyFill="1" applyBorder="1" applyAlignment="1">
      <x:alignment vertical="center" wrapText="0"/>
    </x:xf>
    <x:xf numFmtId="201" fontId="13" fillId="9" borderId="5" xfId="0" applyNumberFormat="1" applyFont="1" applyFill="1" applyBorder="1" applyAlignment="1">
      <x:alignment vertical="center" wrapText="0"/>
    </x:xf>
  </x:cellXfs>
  <x:cellStyles count="1">
    <x:cellStyle name="Normal" xfId="0"/>
  </x:cellStyles>
  <x:dxfs count="2">
    <x:dxf>
      <x:font>
        <x:b/>
        <x:color rgb="FF9F302A"/>
      </x:font>
      <x:fill>
        <x:patternFill patternType="solid">
          <x:bgColor rgb="FFFCE5E2"/>
        </x:patternFill>
      </x:fill>
    </x:dxf>
    <x:dxf>
      <x:font>
        <x:b/>
        <x:color rgb="FF9F302A"/>
      </x:font>
      <x:fill>
        <x:patternFill patternType="solid">
          <x:bgColor rgb="FFFCE5E2"/>
        </x:patternFill>
      </x:fill>
    </x:dxf>
  </x:dxf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0afbdbf70b4c78" /><Relationship Type="http://schemas.openxmlformats.org/officeDocument/2006/relationships/theme" Target="/xl/theme/theme1.xml" Id="R7dad308d555b4d79" /><Relationship Type="http://schemas.openxmlformats.org/officeDocument/2006/relationships/sharedStrings" Target="/xl/sharedStrings.xml" Id="R06a6215687b74b6c" /><Relationship Type="http://schemas.openxmlformats.org/officeDocument/2006/relationships/worksheet" Target="/xl/worksheets/sheet1.xml" Id="Rc58a4bf7ca974a4a" /><Relationship Type="http://schemas.openxmlformats.org/officeDocument/2006/relationships/worksheet" Target="/xl/worksheets/sheet2.xml" Id="R4015fdd92e5e4e3a" /><Relationship Type="http://schemas.openxmlformats.org/officeDocument/2006/relationships/worksheet" Target="/xl/worksheets/sheet3.xml" Id="Rafa94a79dd12410e" /><Relationship Type="http://schemas.openxmlformats.org/officeDocument/2006/relationships/worksheet" Target="/xl/worksheets/sheet4.xml" Id="R8ab043058e08431b" /><Relationship Type="http://schemas.openxmlformats.org/officeDocument/2006/relationships/worksheet" Target="/xl/worksheets/sheet5.xml" Id="R0b6aa524bd6f47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rIdFinanceContact0" Type="http://schemas.openxmlformats.org/officeDocument/2006/relationships/hyperlink" Target="https://zacharyvorsteg.com/?topic=finance#contact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9312D"/>
    <pageSetUpPr fitToPage="1"/>
  </sheetPr>
  <sheetViews>
    <sheetView showGridLines="0" workbookViewId="0"/>
  </sheetViews>
  <sheetFormatPr baseColWidth="8" defaultRowHeight="15"/>
  <cols>
    <col min="1" max="1" width="43" hidden="0" customWidth="1"/>
    <col min="2" max="2" width="19" hidden="0" customWidth="1"/>
    <col min="3" max="3" width="14" hidden="0" customWidth="1"/>
    <col min="4" max="4" width="14" hidden="0" customWidth="1"/>
    <col min="5" max="5" width="14" hidden="0" customWidth="1"/>
    <col min="6" max="6" width="14" hidden="0" customWidth="1"/>
    <col min="7" max="7" width="14" hidden="0" customWidth="1"/>
  </cols>
  <sheetData>
    <row r="1" ht="32" customHeight="1">
      <c r="A1" s="77" t="str">
        <v>Acquisition model</v>
      </c>
      <c r="B1" s="78"/>
      <c r="C1" s="78"/>
      <c r="D1" s="78"/>
      <c r="E1" s="78"/>
      <c r="F1" s="78"/>
      <c r="G1" s="78"/>
    </row>
    <row r="2" ht="24" customHeight="1">
      <c r="A2" s="82" t="str">
        <v>Zachary Vorsteg. Illustrative annual model in USD thousands.</v>
      </c>
      <c r="B2" s="83"/>
      <c r="C2" s="83"/>
      <c r="D2" s="83"/>
      <c r="E2" s="83"/>
      <c r="F2" s="83"/>
      <c r="G2" s="84"/>
    </row>
    <row r="3" ht="24" customHeight="1">
      <c r="A3" s="125" t="inlineStr">
        <is>
          <t xml:space="preserve">KEY RETURNS</t>
        </is>
      </c>
      <c r="B3" s="126"/>
      <c r="C3" s="67"/>
      <c r="D3" s="67"/>
      <c r="E3" s="67"/>
      <c r="F3" s="67"/>
      <c r="G3" s="68"/>
    </row>
    <row r="4" ht="31" customHeight="1">
      <c r="A4" s="131" t="inlineStr">
        <is>
          <t xml:space="preserve">IRR</t>
        </is>
      </c>
      <c r="B4" s="154" t="n">
        <f>Returns!G27</f>
        <v>0.7073206919686934</v>
      </c>
      <c r="C4" s="67"/>
      <c r="D4" s="67"/>
      <c r="E4" s="67"/>
      <c r="F4" s="67"/>
      <c r="G4" s="68"/>
    </row>
    <row r="5" ht="31" customHeight="1">
      <c r="A5" s="131" t="inlineStr">
        <is>
          <t xml:space="preserve">MOIC</t>
        </is>
      </c>
      <c r="B5" s="155" t="n">
        <f>Returns!G26</f>
        <v>10.837510785141214</v>
      </c>
      <c r="C5" s="67"/>
      <c r="D5" s="67"/>
      <c r="E5" s="67"/>
      <c r="F5" s="67"/>
      <c r="G5" s="68"/>
    </row>
    <row r="6" ht="21" customHeight="1">
      <c r="A6" s="66"/>
      <c r="B6" s="67"/>
      <c r="C6" s="67"/>
      <c r="D6" s="67"/>
      <c r="E6" s="67"/>
      <c r="F6" s="67"/>
      <c r="G6" s="68"/>
    </row>
    <row r="7" ht="24" customHeight="1">
      <c r="A7" s="125" t="inlineStr">
        <is>
          <t xml:space="preserve">VALUATION</t>
        </is>
      </c>
      <c r="B7" s="126"/>
      <c r="C7" s="67"/>
      <c r="D7" s="67"/>
      <c r="E7" s="67"/>
      <c r="F7" s="67"/>
      <c r="G7" s="68"/>
    </row>
    <row r="8" ht="21" customHeight="1">
      <c r="A8" s="66" t="str">
        <v>Entry EV / LTM EBITDA</v>
      </c>
      <c r="B8" s="150" t="n">
        <f>IF('Assumptions'!$B$9=0,"n.a.",SUM('Assumptions'!$B$3,'Assumptions'!$B$5,-'Assumptions'!$B$6)/'Assumptions'!$B$9)</f>
        <v>8.024691358024691</v>
      </c>
      <c r="C8" s="67"/>
      <c r="D8" s="67"/>
      <c r="E8" s="67"/>
      <c r="F8" s="67"/>
      <c r="G8" s="68"/>
    </row>
    <row r="9" ht="21" customHeight="1">
      <c r="A9" s="66" t="inlineStr">
        <is>
          <t xml:space="preserve">Exit Multiple</t>
        </is>
      </c>
      <c r="B9" s="150" t="n">
        <f>Assumptions!$B$40</f>
        <v>8.5</v>
      </c>
      <c r="C9" s="67"/>
      <c r="D9" s="67"/>
      <c r="E9" s="67"/>
      <c r="F9" s="67"/>
      <c r="G9" s="68"/>
    </row>
    <row r="10" ht="21" customHeight="1">
      <c r="A10" s="66" t="inlineStr">
        <is>
          <t xml:space="preserve">Entry Leverage</t>
        </is>
      </c>
      <c r="B10" s="150" t="n">
        <f>'Debt Schedule'!B14</f>
        <v>5.092592592592593</v>
      </c>
      <c r="C10" s="67"/>
      <c r="D10" s="67"/>
      <c r="E10" s="67"/>
      <c r="F10" s="67"/>
      <c r="G10" s="68"/>
    </row>
    <row r="11" ht="21" customHeight="1">
      <c r="A11" s="66" t="inlineStr">
        <is>
          <t xml:space="preserve">Year 2 Leverage</t>
        </is>
      </c>
      <c r="B11" s="150" t="n">
        <f>'Debt Schedule'!D14</f>
        <v>1.249638993179748</v>
      </c>
      <c r="C11" s="67"/>
      <c r="D11" s="67"/>
      <c r="E11" s="67"/>
      <c r="F11" s="67"/>
      <c r="G11" s="68"/>
    </row>
    <row r="12" ht="21" customHeight="1">
      <c r="A12" s="66"/>
      <c r="B12" s="67"/>
      <c r="C12" s="67"/>
      <c r="D12" s="67"/>
      <c r="E12" s="67"/>
      <c r="F12" s="67"/>
      <c r="G12" s="68"/>
    </row>
    <row r="13" ht="24" customHeight="1">
      <c r="A13" s="125" t="inlineStr">
        <is>
          <t xml:space="preserve">SYNERGIES ($000s)</t>
        </is>
      </c>
      <c r="B13" s="126"/>
      <c r="C13" s="67"/>
      <c r="D13" s="67"/>
      <c r="E13" s="67"/>
      <c r="F13" s="67"/>
      <c r="G13" s="68"/>
    </row>
    <row r="14" ht="21" customHeight="1">
      <c r="A14" s="66" t="inlineStr">
        <is>
          <t xml:space="preserve">Cost Synergies (Annual)</t>
        </is>
      </c>
      <c r="B14" s="67" t="n">
        <f>Assumptions!$B$16</f>
        <v>4200</v>
      </c>
      <c r="C14" s="67"/>
      <c r="D14" s="67"/>
      <c r="E14" s="67"/>
      <c r="F14" s="67"/>
      <c r="G14" s="68"/>
    </row>
    <row r="15" ht="21" customHeight="1">
      <c r="A15" s="66" t="inlineStr">
        <is>
          <t xml:space="preserve">Revenue Synergies (Annual)</t>
        </is>
      </c>
      <c r="B15" s="67" t="n">
        <f>Assumptions!$B$19</f>
        <v>1500</v>
      </c>
      <c r="C15" s="67"/>
      <c r="D15" s="67"/>
      <c r="E15" s="67"/>
      <c r="F15" s="67"/>
      <c r="G15" s="68"/>
    </row>
    <row r="16" ht="23" customHeight="1">
      <c r="A16" s="131" t="str">
        <v>Total synergy EBITDA</v>
      </c>
      <c r="B16" s="132" t="n">
        <f>B14+B15*Assumptions!$B$22</f>
        <v>4470</v>
      </c>
      <c r="C16" s="67"/>
      <c r="D16" s="67"/>
      <c r="E16" s="67"/>
      <c r="F16" s="67"/>
      <c r="G16" s="68"/>
    </row>
    <row r="17" ht="21" customHeight="1">
      <c r="A17" s="66"/>
      <c r="B17" s="67"/>
      <c r="C17" s="67"/>
      <c r="D17" s="67"/>
      <c r="E17" s="67"/>
      <c r="F17" s="67"/>
      <c r="G17" s="68"/>
    </row>
    <row r="18" ht="24" customHeight="1">
      <c r="A18" s="125" t="str">
        <v>Funding at closing</v>
      </c>
      <c r="B18" s="126"/>
      <c r="C18" s="67"/>
      <c r="D18" s="67"/>
      <c r="E18" s="67"/>
      <c r="F18" s="67"/>
      <c r="G18" s="68"/>
    </row>
    <row r="19" ht="21" customHeight="1">
      <c r="A19" s="66" t="str">
        <v>Total cash uses</v>
      </c>
      <c r="B19" s="67" t="n">
        <f>SUM('Assumptions'!B3:B5)-'Assumptions'!B6</f>
        <v>27500</v>
      </c>
      <c r="C19" s="67"/>
      <c r="D19" s="67"/>
      <c r="E19" s="67"/>
      <c r="F19" s="67"/>
      <c r="G19" s="68"/>
    </row>
    <row r="20" ht="23" customHeight="1">
      <c r="A20" s="131" t="str">
        <v>Equity and new debt</v>
      </c>
      <c r="B20" s="132" t="n">
        <f>SUM('Assumptions'!B30:B31,'Assumptions'!B33,'Assumptions'!B35)</f>
        <v>27500</v>
      </c>
      <c r="C20" s="67"/>
      <c r="D20" s="67"/>
      <c r="E20" s="67"/>
      <c r="F20" s="67"/>
      <c r="G20" s="68"/>
    </row>
    <row r="21" ht="21" customHeight="1">
      <c r="A21" s="66" t="str">
        <v>Funding difference</v>
      </c>
      <c r="B21" s="153" t="n">
        <f>B20-B19</f>
        <v>0</v>
      </c>
      <c r="C21" s="67"/>
      <c r="D21" s="67"/>
      <c r="E21" s="67"/>
      <c r="F21" s="67"/>
      <c r="G21" s="68"/>
    </row>
    <row r="22" ht="21" customHeight="1">
      <c r="A22" s="66"/>
      <c r="B22" s="67"/>
      <c r="C22" s="67"/>
      <c r="D22" s="67"/>
      <c r="E22" s="67"/>
      <c r="F22" s="67"/>
      <c r="G22" s="68"/>
    </row>
    <row r="23" ht="21" customHeight="1">
      <c r="A23" s="66" t="str">
        <v>Selected exit year</v>
      </c>
      <c r="B23" s="67" t="n">
        <f>'Assumptions'!B39</f>
        <v>5</v>
      </c>
      <c r="C23" s="67"/>
      <c r="D23" s="67"/>
      <c r="E23" s="67"/>
      <c r="F23" s="67"/>
      <c r="G23" s="68"/>
    </row>
    <row r="24" ht="21" customHeight="1">
      <c r="A24" s="66"/>
      <c r="B24" s="67"/>
      <c r="C24" s="67"/>
      <c r="D24" s="67"/>
      <c r="E24" s="67"/>
      <c r="F24" s="67"/>
      <c r="G24" s="68"/>
    </row>
    <row r="25" ht="30" customHeight="1">
      <c r="A25" s="120" t="str">
        <v>Start on Assumptions. Blue cells accept inputs.</v>
      </c>
      <c r="B25" s="67"/>
      <c r="C25" s="67"/>
      <c r="D25" s="67"/>
      <c r="E25" s="67"/>
      <c r="F25" s="67"/>
      <c r="G25" s="68"/>
    </row>
    <row r="26" ht="30" customHeight="1">
      <c r="A26" s="120" t="str">
        <v>IRR includes operating distributions and net exit proceeds.</v>
      </c>
      <c r="B26" s="67"/>
      <c r="C26" s="67"/>
      <c r="D26" s="67"/>
      <c r="E26" s="67"/>
      <c r="F26" s="67"/>
      <c r="G26" s="68"/>
    </row>
    <row r="27" ht="30" customHeight="1">
      <c r="A27" s="120" t="str">
        <v>MOIC includes additional equity contributed. See model conventions on Assumptions.</v>
      </c>
      <c r="B27" s="67"/>
      <c r="C27" s="67"/>
      <c r="D27" s="67"/>
      <c r="E27" s="67"/>
      <c r="F27" s="67"/>
      <c r="G27" s="68"/>
    </row>
    <row r="28" ht="21" customHeight="1">
      <c r="A28" s="66"/>
      <c r="B28" s="67"/>
      <c r="C28" s="67"/>
      <c r="D28" s="67"/>
      <c r="E28" s="67"/>
      <c r="F28" s="67"/>
      <c r="G28" s="68"/>
    </row>
    <row r="29" ht="30" customHeight="1">
      <c r="A29" s="122" t="str">
        <v>https://zacharyvorsteg.com/?topic=finance#contact</v>
      </c>
      <c r="B29" s="67"/>
      <c r="C29" s="67"/>
      <c r="D29" s="67"/>
      <c r="E29" s="67"/>
      <c r="F29" s="67"/>
      <c r="G29" s="68"/>
    </row>
    <row r="30" ht="21" customHeight="1">
      <c r="A30" s="66"/>
      <c r="B30" s="67"/>
      <c r="C30" s="67"/>
      <c r="D30" s="67"/>
      <c r="E30" s="67"/>
      <c r="F30" s="67"/>
      <c r="G30" s="68"/>
    </row>
    <row r="31" ht="21" customHeight="1">
      <c r="A31" s="69"/>
      <c r="B31" s="70"/>
      <c r="C31" s="70"/>
      <c r="D31" s="70"/>
      <c r="E31" s="70"/>
      <c r="F31" s="70"/>
      <c r="G31" s="71"/>
    </row>
  </sheetData>
  <mergeCells>
    <mergeCell ref="A25:D25"/>
    <mergeCell ref="A26:D26"/>
    <mergeCell ref="A27:D27"/>
  </mergeCells>
  <conditionalFormatting sqref="B21:B21">
    <cfRule type="expression" dxfId="0" priority="1">
      <formula>ABS(B21)&gt;0.01</formula>
    </cfRule>
  </conditionalFormatting>
  <hyperlinks>
    <hyperlink ref="A29" r:id="rIdFinanceContact0" tooltip="Discuss your model with Zach"/>
  </hyperlinks>
  <printOptions horizontalCentered="1" gridLines="0" headings="0"/>
  <pageMargins left="0.3" right="0.3" top="0.4" bottom="0.4" header="0.15" footer="0.2"/>
  <pageSetup paperSize="1" orientation="landscape" fitToWidth="1" fitToHeight="0"/>
  <headerFooter>
    <oddFooter>&amp;LZachary Vorsteg | Illustrative model&amp;RPage &amp;P of &amp;N</oddFooter>
  </headerFooter>
</worksheet>
</file>

<file path=xl/worksheets/sheet2.xml><?xml version="1.0" encoding="utf-8"?>
<worksheet xmlns="http://schemas.openxmlformats.org/spreadsheetml/2006/main">
  <sheetPr>
    <tabColor rgb="FF8AA99C"/>
    <pageSetUpPr fitToPage="1"/>
  </sheetPr>
  <sheetViews>
    <sheetView showGridLines="0" workbookViewId="0">
      <pane ySplit="2" topLeftCell="A3" activePane="bottomLeft" state="frozen"/>
    </sheetView>
  </sheetViews>
  <sheetFormatPr baseColWidth="8" defaultRowHeight="15"/>
  <cols>
    <col min="1" max="1" width="43" hidden="0" customWidth="1"/>
    <col min="2" max="2" width="14" hidden="0" customWidth="1"/>
    <col min="3" max="3" width="14" hidden="0" customWidth="1"/>
    <col min="4" max="4" width="14" hidden="0" customWidth="1"/>
    <col min="5" max="5" width="14" hidden="0" customWidth="1"/>
    <col min="6" max="6" width="14" hidden="0" customWidth="1"/>
    <col min="7" max="7" width="14" hidden="0" customWidth="1"/>
  </cols>
  <sheetData>
    <row r="1" ht="32" customHeight="1">
      <c r="A1" s="77" t="str">
        <v>Assumptions</v>
      </c>
      <c r="B1" s="78"/>
      <c r="C1" s="78"/>
      <c r="D1" s="78"/>
      <c r="E1" s="78"/>
      <c r="F1" s="78"/>
      <c r="G1" s="78"/>
    </row>
    <row r="2" ht="24" customHeight="1">
      <c r="A2" s="82" t="str">
        <v>Zachary Vorsteg. Illustrative annual model in USD thousands.</v>
      </c>
      <c r="B2" s="83"/>
      <c r="C2" s="83"/>
      <c r="D2" s="83"/>
      <c r="E2" s="83"/>
      <c r="F2" s="83"/>
      <c r="G2" s="84"/>
    </row>
    <row r="3" ht="21" customHeight="1">
      <c r="A3" s="66" t="str">
        <v>Equity purchase price</v>
      </c>
      <c r="B3" s="144" t="n">
        <v>25000</v>
      </c>
      <c r="C3" s="67"/>
      <c r="D3" s="67"/>
      <c r="E3" s="67"/>
      <c r="F3" s="67"/>
      <c r="G3" s="68"/>
    </row>
    <row r="4" ht="21" customHeight="1">
      <c r="A4" s="66" t="inlineStr">
        <is>
          <t xml:space="preserve">Transaction Costs</t>
        </is>
      </c>
      <c r="B4" s="144" t="n">
        <v>1500</v>
      </c>
      <c r="C4" s="67"/>
      <c r="D4" s="116" t="str">
        <v>Start here: edit blue assumptions. The purchase price is equity value; target debt and cash bridge to entry enterprise value.</v>
      </c>
      <c r="E4" s="117"/>
      <c r="F4" s="117"/>
      <c r="G4" s="118"/>
    </row>
    <row r="5" ht="21" customHeight="1">
      <c r="A5" s="66" t="str">
        <v>Target debt refinanced</v>
      </c>
      <c r="B5" s="144" t="n">
        <v>2000</v>
      </c>
      <c r="C5" s="67"/>
      <c r="D5" s="117"/>
      <c r="E5" s="117"/>
      <c r="F5" s="117"/>
      <c r="G5" s="118"/>
    </row>
    <row r="6" ht="21" customHeight="1">
      <c r="A6" s="66" t="str">
        <v>Target cash used at closing</v>
      </c>
      <c r="B6" s="144" t="n">
        <v>1000</v>
      </c>
      <c r="C6" s="67"/>
      <c r="D6" s="117"/>
      <c r="E6" s="117"/>
      <c r="F6" s="117"/>
      <c r="G6" s="118"/>
    </row>
    <row r="7" ht="21" customHeight="1">
      <c r="A7" s="66"/>
      <c r="B7" s="67"/>
      <c r="C7" s="67"/>
      <c r="D7" s="117"/>
      <c r="E7" s="117"/>
      <c r="F7" s="117"/>
      <c r="G7" s="118"/>
    </row>
    <row r="8" ht="21" customHeight="1">
      <c r="A8" s="66" t="inlineStr">
        <is>
          <t xml:space="preserve">LTM Revenue</t>
        </is>
      </c>
      <c r="B8" s="144" t="n">
        <v>18000</v>
      </c>
      <c r="C8" s="67"/>
      <c r="D8" s="67"/>
      <c r="E8" s="67"/>
      <c r="F8" s="67"/>
      <c r="G8" s="68"/>
    </row>
    <row r="9" ht="21" customHeight="1">
      <c r="A9" s="66" t="inlineStr">
        <is>
          <t xml:space="preserve">LTM EBITDA</t>
        </is>
      </c>
      <c r="B9" s="144" t="n">
        <v>3240</v>
      </c>
      <c r="C9" s="67"/>
      <c r="D9" s="67"/>
      <c r="E9" s="67"/>
      <c r="F9" s="67"/>
      <c r="G9" s="68"/>
    </row>
    <row r="10" ht="21" customHeight="1">
      <c r="A10" s="66" t="str">
        <v>LTM EBITDA margin</v>
      </c>
      <c r="B10" s="148" t="n">
        <f>IF(B8=0,"n.a.",B9/B8)</f>
        <v>0.18</v>
      </c>
      <c r="C10" s="67"/>
      <c r="D10" s="116" t="str">
        <v>All figures are a worked example, not company results. Required equity is calculated from cash uses less new debt funding.</v>
      </c>
      <c r="E10" s="117"/>
      <c r="F10" s="117"/>
      <c r="G10" s="118"/>
    </row>
    <row r="11" ht="21" customHeight="1">
      <c r="A11" s="66"/>
      <c r="B11" s="67"/>
      <c r="C11" s="67"/>
      <c r="D11" s="117"/>
      <c r="E11" s="117"/>
      <c r="F11" s="117"/>
      <c r="G11" s="118"/>
    </row>
    <row r="12" ht="21" customHeight="1">
      <c r="A12" s="66" t="str">
        <v>Acquired revenue growth, year 1</v>
      </c>
      <c r="B12" s="149" t="n">
        <v>0.15</v>
      </c>
      <c r="C12" s="67"/>
      <c r="D12" s="117"/>
      <c r="E12" s="117"/>
      <c r="F12" s="117"/>
      <c r="G12" s="118"/>
    </row>
    <row r="13" ht="21" customHeight="1">
      <c r="A13" s="66" t="str">
        <v>Acquired revenue growth, years 2–5</v>
      </c>
      <c r="B13" s="149" t="n">
        <v>0.12</v>
      </c>
      <c r="C13" s="67"/>
      <c r="D13" s="117"/>
      <c r="E13" s="117"/>
      <c r="F13" s="117"/>
      <c r="G13" s="118"/>
    </row>
    <row r="14" ht="21" customHeight="1">
      <c r="A14" s="66" t="str">
        <v>Incremental external revenue / year</v>
      </c>
      <c r="B14" s="144" t="n">
        <v>12000</v>
      </c>
      <c r="C14" s="67"/>
      <c r="D14" s="67"/>
      <c r="E14" s="67"/>
      <c r="F14" s="67"/>
      <c r="G14" s="68"/>
    </row>
    <row r="15" ht="21" customHeight="1">
      <c r="A15" s="66"/>
      <c r="B15" s="67"/>
      <c r="C15" s="67"/>
      <c r="D15" s="67"/>
      <c r="E15" s="67"/>
      <c r="F15" s="67"/>
      <c r="G15" s="68"/>
    </row>
    <row r="16" ht="21" customHeight="1">
      <c r="A16" s="66" t="inlineStr">
        <is>
          <t xml:space="preserve">Cost Synergies Run-Rate</t>
        </is>
      </c>
      <c r="B16" s="144" t="n">
        <v>4200</v>
      </c>
      <c r="C16" s="67"/>
      <c r="D16" s="116" t="str">
        <v>Incremental revenue must be new consolidated third-party revenue. Exclude intercompany sales and existing buyer revenue.</v>
      </c>
      <c r="E16" s="117"/>
      <c r="F16" s="117"/>
      <c r="G16" s="118"/>
    </row>
    <row r="17" ht="21" customHeight="1">
      <c r="A17" s="66" t="inlineStr">
        <is>
          <t xml:space="preserve">Cost Synergy % Y1</t>
        </is>
      </c>
      <c r="B17" s="149" t="n">
        <v>0.6</v>
      </c>
      <c r="C17" s="67"/>
      <c r="D17" s="117"/>
      <c r="E17" s="117"/>
      <c r="F17" s="117"/>
      <c r="G17" s="118"/>
    </row>
    <row r="18" ht="21" customHeight="1">
      <c r="A18" s="66" t="inlineStr">
        <is>
          <t xml:space="preserve">Cost Synergy % Y2+</t>
        </is>
      </c>
      <c r="B18" s="149" t="n">
        <v>1</v>
      </c>
      <c r="C18" s="67"/>
      <c r="D18" s="117"/>
      <c r="E18" s="117"/>
      <c r="F18" s="117"/>
      <c r="G18" s="118"/>
    </row>
    <row r="19" ht="21" customHeight="1">
      <c r="A19" s="66" t="inlineStr">
        <is>
          <t xml:space="preserve">Revenue Synergies Run-Rate</t>
        </is>
      </c>
      <c r="B19" s="144" t="n">
        <v>1500</v>
      </c>
      <c r="C19" s="67"/>
      <c r="D19" s="117"/>
      <c r="E19" s="117"/>
      <c r="F19" s="117"/>
      <c r="G19" s="118"/>
    </row>
    <row r="20" ht="21" customHeight="1">
      <c r="A20" s="66" t="inlineStr">
        <is>
          <t xml:space="preserve">Revenue Synergy % Y1</t>
        </is>
      </c>
      <c r="B20" s="149" t="n">
        <v>0.6</v>
      </c>
      <c r="C20" s="67"/>
      <c r="D20" s="67"/>
      <c r="E20" s="67"/>
      <c r="F20" s="67"/>
      <c r="G20" s="68"/>
    </row>
    <row r="21" ht="21" customHeight="1">
      <c r="A21" s="66" t="inlineStr">
        <is>
          <t xml:space="preserve">Revenue Synergy % Y2+</t>
        </is>
      </c>
      <c r="B21" s="149" t="n">
        <v>1</v>
      </c>
      <c r="C21" s="67"/>
      <c r="D21" s="67"/>
      <c r="E21" s="67"/>
      <c r="F21" s="67"/>
      <c r="G21" s="68"/>
    </row>
    <row r="22" ht="21" customHeight="1">
      <c r="A22" s="66" t="inlineStr">
        <is>
          <t xml:space="preserve">Revenue Synergy Margin</t>
        </is>
      </c>
      <c r="B22" s="149" t="n">
        <v>0.18</v>
      </c>
      <c r="C22" s="67"/>
      <c r="D22" s="116" t="str">
        <v>The simple debt schedule repays all tranches pro rata and uses annual average debt for cash interest. No additional borrowing after closing.</v>
      </c>
      <c r="E22" s="117"/>
      <c r="F22" s="117"/>
      <c r="G22" s="118"/>
    </row>
    <row r="23" ht="21" customHeight="1">
      <c r="A23" s="66" t="inlineStr">
        <is>
          <t xml:space="preserve">Integration Costs</t>
        </is>
      </c>
      <c r="B23" s="144" t="n">
        <v>300</v>
      </c>
      <c r="C23" s="67"/>
      <c r="D23" s="117"/>
      <c r="E23" s="117"/>
      <c r="F23" s="117"/>
      <c r="G23" s="118"/>
    </row>
    <row r="24" ht="21" customHeight="1">
      <c r="A24" s="66"/>
      <c r="B24" s="67"/>
      <c r="C24" s="67"/>
      <c r="D24" s="117"/>
      <c r="E24" s="117"/>
      <c r="F24" s="117"/>
      <c r="G24" s="118"/>
    </row>
    <row r="25" ht="21" customHeight="1">
      <c r="A25" s="66" t="inlineStr">
        <is>
          <t xml:space="preserve">D&amp;A % Revenue</t>
        </is>
      </c>
      <c r="B25" s="149" t="n">
        <v>0.06</v>
      </c>
      <c r="C25" s="67"/>
      <c r="D25" s="117"/>
      <c r="E25" s="117"/>
      <c r="F25" s="117"/>
      <c r="G25" s="118"/>
    </row>
    <row r="26" ht="21" customHeight="1">
      <c r="A26" s="66" t="inlineStr">
        <is>
          <t xml:space="preserve">CapEx % Revenue</t>
        </is>
      </c>
      <c r="B26" s="149" t="n">
        <v>0.04</v>
      </c>
      <c r="C26" s="67"/>
      <c r="D26" s="117"/>
      <c r="E26" s="117"/>
      <c r="F26" s="117"/>
      <c r="G26" s="118"/>
    </row>
    <row r="27" ht="21" customHeight="1">
      <c r="A27" s="66" t="inlineStr">
        <is>
          <t xml:space="preserve">NWC % Revenue</t>
        </is>
      </c>
      <c r="B27" s="149" t="n">
        <v>0.12</v>
      </c>
      <c r="C27" s="67"/>
      <c r="D27" s="67"/>
      <c r="E27" s="67"/>
      <c r="F27" s="67"/>
      <c r="G27" s="68"/>
    </row>
    <row r="28" ht="21" customHeight="1">
      <c r="A28" s="66" t="inlineStr">
        <is>
          <t xml:space="preserve">Tax Rate</t>
        </is>
      </c>
      <c r="B28" s="149" t="n">
        <v>0.24</v>
      </c>
      <c r="C28" s="67"/>
      <c r="D28" s="67"/>
      <c r="E28" s="67"/>
      <c r="F28" s="67"/>
      <c r="G28" s="68"/>
    </row>
    <row r="29" ht="21" customHeight="1">
      <c r="A29" s="66"/>
      <c r="B29" s="67"/>
      <c r="C29" s="67"/>
      <c r="D29" s="116" t="str">
        <v>Exit occurs at year end, after operating distributions. No tax refunds, NOLs, purchase-accounting adjustments or investor capital-gains taxes are modeled.</v>
      </c>
      <c r="E29" s="117"/>
      <c r="F29" s="117"/>
      <c r="G29" s="118"/>
    </row>
    <row r="30" ht="21" customHeight="1">
      <c r="A30" s="66" t="str">
        <v>Required equity investment</v>
      </c>
      <c r="B30" s="67" t="n">
        <f>SUM(B3:B5)-B6-SUM(B31,B33,B35)</f>
        <v>11000</v>
      </c>
      <c r="C30" s="67"/>
      <c r="D30" s="117"/>
      <c r="E30" s="117"/>
      <c r="F30" s="117"/>
      <c r="G30" s="118"/>
    </row>
    <row r="31" ht="21" customHeight="1">
      <c r="A31" s="66" t="inlineStr">
        <is>
          <t xml:space="preserve">Senior Debt</t>
        </is>
      </c>
      <c r="B31" s="144" t="n">
        <v>13000</v>
      </c>
      <c r="C31" s="67"/>
      <c r="D31" s="117"/>
      <c r="E31" s="117"/>
      <c r="F31" s="117"/>
      <c r="G31" s="118"/>
    </row>
    <row r="32" ht="21" customHeight="1">
      <c r="A32" s="66" t="inlineStr">
        <is>
          <t xml:space="preserve">Senior Rate</t>
        </is>
      </c>
      <c r="B32" s="149" t="n">
        <v>0.07000000000000001</v>
      </c>
      <c r="C32" s="67"/>
      <c r="D32" s="117"/>
      <c r="E32" s="117"/>
      <c r="F32" s="117"/>
      <c r="G32" s="118"/>
    </row>
    <row r="33" ht="21" customHeight="1">
      <c r="A33" s="66" t="inlineStr">
        <is>
          <t xml:space="preserve">Sub Debt</t>
        </is>
      </c>
      <c r="B33" s="144" t="n">
        <v>2500</v>
      </c>
      <c r="C33" s="67"/>
      <c r="D33" s="117"/>
      <c r="E33" s="117"/>
      <c r="F33" s="117"/>
      <c r="G33" s="118"/>
    </row>
    <row r="34" ht="21" customHeight="1">
      <c r="A34" s="66" t="inlineStr">
        <is>
          <t xml:space="preserve">Sub Rate</t>
        </is>
      </c>
      <c r="B34" s="149" t="n">
        <v>0.11</v>
      </c>
      <c r="C34" s="67"/>
      <c r="D34" s="117"/>
      <c r="E34" s="117"/>
      <c r="F34" s="117"/>
      <c r="G34" s="118"/>
    </row>
    <row r="35" ht="21" customHeight="1">
      <c r="A35" s="66" t="inlineStr">
        <is>
          <t xml:space="preserve">Seller Note</t>
        </is>
      </c>
      <c r="B35" s="144" t="n">
        <v>1000</v>
      </c>
      <c r="C35" s="67"/>
      <c r="D35" s="67"/>
      <c r="E35" s="67"/>
      <c r="F35" s="67"/>
      <c r="G35" s="68"/>
    </row>
    <row r="36" ht="21" customHeight="1">
      <c r="A36" s="66" t="inlineStr">
        <is>
          <t xml:space="preserve">Seller Rate</t>
        </is>
      </c>
      <c r="B36" s="149" t="n">
        <v>0.05</v>
      </c>
      <c r="C36" s="67"/>
      <c r="D36" s="67"/>
      <c r="E36" s="67"/>
      <c r="F36" s="67"/>
      <c r="G36" s="68"/>
    </row>
    <row r="37" ht="21" customHeight="1">
      <c r="A37" s="66" t="str">
        <v>Annual principal repayment</v>
      </c>
      <c r="B37" s="144" t="n">
        <v>1500</v>
      </c>
      <c r="C37" s="67"/>
      <c r="D37" s="116" t="str">
        <v>Exit fees default to zero. Set a supported assumption. Returns need positive initial equity. Cash shortfalls require additional equity; unusual sign changes can make IRR ambiguous.</v>
      </c>
      <c r="E37" s="117"/>
      <c r="F37" s="117"/>
      <c r="G37" s="118"/>
    </row>
    <row r="38" ht="21" customHeight="1">
      <c r="A38" s="66"/>
      <c r="B38" s="67"/>
      <c r="C38" s="67"/>
      <c r="D38" s="117"/>
      <c r="E38" s="117"/>
      <c r="F38" s="117"/>
      <c r="G38" s="118"/>
    </row>
    <row r="39" ht="21" customHeight="1">
      <c r="A39" s="66" t="str">
        <v>Exit year (1–5)</v>
      </c>
      <c r="B39" s="144" t="n">
        <v>5</v>
      </c>
      <c r="C39" s="67"/>
      <c r="D39" s="117"/>
      <c r="E39" s="117"/>
      <c r="F39" s="117"/>
      <c r="G39" s="118"/>
    </row>
    <row r="40" ht="21" customHeight="1">
      <c r="A40" s="66" t="inlineStr">
        <is>
          <t xml:space="preserve">Exit Multiple</t>
        </is>
      </c>
      <c r="B40" s="165" t="n">
        <v>8.5</v>
      </c>
      <c r="C40" s="67"/>
      <c r="D40" s="117"/>
      <c r="E40" s="117"/>
      <c r="F40" s="117"/>
      <c r="G40" s="118"/>
    </row>
    <row r="41" ht="21" customHeight="1">
      <c r="A41" s="66" t="str">
        <v>Exit fees (% of enterprise value)</v>
      </c>
      <c r="B41" s="149" t="n">
        <v>0</v>
      </c>
      <c r="C41" s="67"/>
      <c r="D41" s="117"/>
      <c r="E41" s="117"/>
      <c r="F41" s="117"/>
      <c r="G41" s="118"/>
    </row>
    <row r="42" ht="21" customHeight="1">
      <c r="A42" s="66"/>
      <c r="B42" s="67"/>
      <c r="C42" s="67"/>
      <c r="D42" s="67"/>
      <c r="E42" s="67"/>
      <c r="F42" s="67"/>
      <c r="G42" s="68"/>
    </row>
    <row r="43" ht="21" customHeight="1">
      <c r="A43" s="66"/>
      <c r="B43" s="67"/>
      <c r="C43" s="67"/>
      <c r="D43" s="67"/>
      <c r="E43" s="67"/>
      <c r="F43" s="67"/>
      <c r="G43" s="68"/>
    </row>
    <row r="44" ht="21" customHeight="1">
      <c r="A44" s="66"/>
      <c r="B44" s="67"/>
      <c r="C44" s="67"/>
      <c r="D44" s="67"/>
      <c r="E44" s="67"/>
      <c r="F44" s="67"/>
      <c r="G44" s="68"/>
    </row>
    <row r="45" ht="21" customHeight="1">
      <c r="A45" s="69"/>
      <c r="B45" s="70"/>
      <c r="C45" s="70"/>
      <c r="D45" s="70"/>
      <c r="E45" s="70"/>
      <c r="F45" s="70"/>
      <c r="G45" s="71"/>
    </row>
  </sheetData>
  <mergeCells>
    <mergeCell ref="D4:G7"/>
    <mergeCell ref="D10:G13"/>
    <mergeCell ref="D16:G19"/>
    <mergeCell ref="D22:G26"/>
    <mergeCell ref="D29:G34"/>
    <mergeCell ref="D37:G41"/>
  </mergeCells>
  <conditionalFormatting sqref="B30:B30">
    <cfRule type="expression" dxfId="1" priority="1">
      <formula>B30&lt;=0</formula>
    </cfRule>
  </conditionalFormatting>
  <dataValidations count="4">
    <dataValidation type="decimal" operator="greaterThan" sqref="B8">
      <formula1>0</formula1>
    </dataValidation>
    <dataValidation type="whole" operator="between" sqref="B39">
      <formula1>1</formula1>
      <formula2>5</formula2>
    </dataValidation>
    <dataValidation type="decimal" operator="greaterThanOrEqual" sqref="B37">
      <formula1>0</formula1>
    </dataValidation>
    <dataValidation type="decimal" operator="between" sqref="B41">
      <formula1>0</formula1>
      <formula2>1</formula2>
    </dataValidation>
  </dataValidations>
  <printOptions horizontalCentered="1" gridLines="0" headings="0"/>
  <pageMargins left="0.3" right="0.3" top="0.4" bottom="0.4" header="0.15" footer="0.2"/>
  <pageSetup paperSize="1" orientation="landscape" fitToWidth="1" fitToHeight="0"/>
  <headerFooter>
    <oddFooter>&amp;LZachary Vorsteg | Illustrative model&amp;RPage &amp;P of &amp;N</oddFooter>
  </headerFooter>
</worksheet>
</file>

<file path=xl/worksheets/sheet3.xml><?xml version="1.0" encoding="utf-8"?>
<worksheet xmlns="http://schemas.openxmlformats.org/spreadsheetml/2006/main">
  <sheetPr>
    <tabColor rgb="FF19312D"/>
    <pageSetUpPr fitToPage="1"/>
  </sheetPr>
  <sheetViews>
    <sheetView showGridLines="0" workbookViewId="0">
      <pane xSplit="1" ySplit="3" topLeftCell="B4" activePane="bottomRight" state="frozen"/>
    </sheetView>
  </sheetViews>
  <sheetFormatPr baseColWidth="8" defaultRowHeight="15"/>
  <cols>
    <col min="1" max="1" width="43" hidden="0" customWidth="1"/>
    <col min="2" max="2" width="14" hidden="0" customWidth="1"/>
    <col min="3" max="3" width="14" hidden="0" customWidth="1"/>
    <col min="4" max="4" width="14" hidden="0" customWidth="1"/>
    <col min="5" max="5" width="14" hidden="0" customWidth="1"/>
    <col min="6" max="6" width="14" hidden="0" customWidth="1"/>
    <col min="7" max="7" width="14" hidden="0" customWidth="1"/>
  </cols>
  <sheetData>
    <row r="1" ht="32" customHeight="1">
      <c r="A1" s="77" t="str">
        <v>Pro Forma P&amp;L</v>
      </c>
      <c r="B1" s="78"/>
      <c r="C1" s="78"/>
      <c r="D1" s="78"/>
      <c r="E1" s="78"/>
      <c r="F1" s="78"/>
      <c r="G1" s="78"/>
    </row>
    <row r="2" ht="24" customHeight="1">
      <c r="A2" s="82" t="str">
        <v>Zachary Vorsteg. Illustrative annual model in USD thousands.</v>
      </c>
      <c r="B2" s="83"/>
      <c r="C2" s="83"/>
      <c r="D2" s="83"/>
      <c r="E2" s="83"/>
      <c r="F2" s="83"/>
      <c r="G2" s="84"/>
    </row>
    <row r="3" ht="24" customHeight="1">
      <c r="A3" s="136" t="inlineStr">
        <is>
          <t xml:space="preserve">Period</t>
        </is>
      </c>
      <c r="B3" s="137" t="inlineStr">
        <is>
          <t xml:space="preserve">LTM</t>
        </is>
      </c>
      <c r="C3" s="137" t="inlineStr">
        <is>
          <t xml:space="preserve">Year 1</t>
        </is>
      </c>
      <c r="D3" s="137" t="inlineStr">
        <is>
          <t xml:space="preserve">Year 2</t>
        </is>
      </c>
      <c r="E3" s="137" t="inlineStr">
        <is>
          <t xml:space="preserve">Year 3</t>
        </is>
      </c>
      <c r="F3" s="137" t="inlineStr">
        <is>
          <t xml:space="preserve">Year 4</t>
        </is>
      </c>
      <c r="G3" s="138" t="inlineStr">
        <is>
          <t xml:space="preserve">Year 5</t>
        </is>
      </c>
    </row>
    <row r="4" ht="21" customHeight="1">
      <c r="A4" s="66"/>
      <c r="B4" s="67"/>
      <c r="C4" s="67"/>
      <c r="D4" s="67"/>
      <c r="E4" s="67"/>
      <c r="F4" s="67"/>
      <c r="G4" s="68"/>
    </row>
    <row r="5" ht="21" customHeight="1">
      <c r="A5" s="66" t="str">
        <v>Acquired business revenue</v>
      </c>
      <c r="B5" s="145" t="n">
        <f>Assumptions!$B$8</f>
        <v>18000</v>
      </c>
      <c r="C5" s="145" t="n">
        <f>B5*(1+Assumptions!$B$12)</f>
        <v>20700</v>
      </c>
      <c r="D5" s="145" t="n">
        <f>C5*(1+Assumptions!$B$13)</f>
        <v>23184.000000000004</v>
      </c>
      <c r="E5" s="145" t="n">
        <f>D5*(1+Assumptions!$B$13)</f>
        <v>25966.080000000005</v>
      </c>
      <c r="F5" s="145" t="n">
        <f>E5*(1+Assumptions!$B$13)</f>
        <v>29082.00960000001</v>
      </c>
      <c r="G5" s="146" t="n">
        <f>F5*(1+Assumptions!$B$13)</f>
        <v>32571.850752000013</v>
      </c>
    </row>
    <row r="6" ht="21" customHeight="1">
      <c r="A6" s="66" t="str">
        <v>Incremental external revenue</v>
      </c>
      <c r="B6" s="67" t="n">
        <f>0</f>
        <v>0</v>
      </c>
      <c r="C6" s="145" t="n">
        <f>Assumptions!$B$14</f>
        <v>12000</v>
      </c>
      <c r="D6" s="145" t="n">
        <f>Assumptions!$B$14</f>
        <v>12000</v>
      </c>
      <c r="E6" s="145" t="n">
        <f>Assumptions!$B$14</f>
        <v>12000</v>
      </c>
      <c r="F6" s="145" t="n">
        <f>Assumptions!$B$14</f>
        <v>12000</v>
      </c>
      <c r="G6" s="146" t="n">
        <f>Assumptions!$B$14</f>
        <v>12000</v>
      </c>
    </row>
    <row r="7" ht="21" customHeight="1">
      <c r="A7" s="66" t="inlineStr">
        <is>
          <t xml:space="preserve">Revenue Synergies</t>
        </is>
      </c>
      <c r="B7" s="67" t="n">
        <f>0</f>
        <v>0</v>
      </c>
      <c r="C7" s="145" t="n">
        <f>Assumptions!$B$19*Assumptions!$B$20</f>
        <v>900</v>
      </c>
      <c r="D7" s="145" t="n">
        <f>Assumptions!$B$19*Assumptions!$B$21</f>
        <v>1500</v>
      </c>
      <c r="E7" s="145" t="n">
        <f>Assumptions!$B$19*Assumptions!$B$21</f>
        <v>1500</v>
      </c>
      <c r="F7" s="145" t="n">
        <f>Assumptions!$B$19*Assumptions!$B$21</f>
        <v>1500</v>
      </c>
      <c r="G7" s="146" t="n">
        <f>Assumptions!$B$19*Assumptions!$B$21</f>
        <v>1500</v>
      </c>
    </row>
    <row r="8" ht="23" customHeight="1">
      <c r="A8" s="131" t="inlineStr">
        <is>
          <t xml:space="preserve">TOTAL REVENUE</t>
        </is>
      </c>
      <c r="B8" s="132" t="n">
        <f>B5+B6+B7</f>
        <v>18000</v>
      </c>
      <c r="C8" s="132" t="n">
        <f>C5+C6+C7</f>
        <v>33600</v>
      </c>
      <c r="D8" s="132" t="n">
        <f>D5+D6+D7</f>
        <v>36684</v>
      </c>
      <c r="E8" s="132" t="n">
        <f>E5+E6+E7</f>
        <v>39466.08</v>
      </c>
      <c r="F8" s="132" t="n">
        <f>F5+F6+F7</f>
        <v>42582.009600000005</v>
      </c>
      <c r="G8" s="132" t="n">
        <f>G5+G6+G7</f>
        <v>46071.85075200001</v>
      </c>
    </row>
    <row r="9" ht="21" customHeight="1">
      <c r="A9" s="66"/>
      <c r="B9" s="67"/>
      <c r="C9" s="67"/>
      <c r="D9" s="67"/>
      <c r="E9" s="67"/>
      <c r="F9" s="67"/>
      <c r="G9" s="68"/>
    </row>
    <row r="10" ht="21" customHeight="1">
      <c r="A10" s="66" t="inlineStr">
        <is>
          <t xml:space="preserve">Baseline EBITDA</t>
        </is>
      </c>
      <c r="B10" s="145" t="n">
        <f>Assumptions!$B$9</f>
        <v>3240</v>
      </c>
      <c r="C10" s="145" t="n">
        <f>C5*Assumptions!$B$10</f>
        <v>3726</v>
      </c>
      <c r="D10" s="145" t="n">
        <f>D5*Assumptions!$B$10</f>
        <v>4173.120000000001</v>
      </c>
      <c r="E10" s="145" t="n">
        <f>E5*Assumptions!$B$10</f>
        <v>4673.894400000001</v>
      </c>
      <c r="F10" s="145" t="n">
        <f>F5*Assumptions!$B$10</f>
        <v>5234.761728000001</v>
      </c>
      <c r="G10" s="146" t="n">
        <f>G5*Assumptions!$B$10</f>
        <v>5862.933135360002</v>
      </c>
    </row>
    <row r="11" ht="21" customHeight="1">
      <c r="A11" s="66" t="str">
        <v>Incremental revenue EBITDA</v>
      </c>
      <c r="B11" s="67" t="n">
        <f>0</f>
        <v>0</v>
      </c>
      <c r="C11" s="145" t="n">
        <f>C6*Assumptions!$B$10</f>
        <v>2160</v>
      </c>
      <c r="D11" s="145" t="n">
        <f>D6*Assumptions!$B$10</f>
        <v>2160</v>
      </c>
      <c r="E11" s="145" t="n">
        <f>E6*Assumptions!$B$10</f>
        <v>2160</v>
      </c>
      <c r="F11" s="145" t="n">
        <f>F6*Assumptions!$B$10</f>
        <v>2160</v>
      </c>
      <c r="G11" s="146" t="n">
        <f>G6*Assumptions!$B$10</f>
        <v>2160</v>
      </c>
    </row>
    <row r="12" ht="21" customHeight="1">
      <c r="A12" s="66" t="inlineStr">
        <is>
          <t xml:space="preserve">Cost Synergies</t>
        </is>
      </c>
      <c r="B12" s="67" t="n">
        <f>0</f>
        <v>0</v>
      </c>
      <c r="C12" s="145" t="n">
        <f>Assumptions!$B$16*Assumptions!$B$17</f>
        <v>2520</v>
      </c>
      <c r="D12" s="145" t="n">
        <f>Assumptions!$B$16*Assumptions!$B$18</f>
        <v>4200</v>
      </c>
      <c r="E12" s="145" t="n">
        <f>Assumptions!$B$16*Assumptions!$B$18</f>
        <v>4200</v>
      </c>
      <c r="F12" s="145" t="n">
        <f>Assumptions!$B$16*Assumptions!$B$18</f>
        <v>4200</v>
      </c>
      <c r="G12" s="146" t="n">
        <f>Assumptions!$B$16*Assumptions!$B$18</f>
        <v>4200</v>
      </c>
    </row>
    <row r="13" ht="21" customHeight="1">
      <c r="A13" s="66" t="inlineStr">
        <is>
          <t xml:space="preserve">Revenue Synergy EBITDA</t>
        </is>
      </c>
      <c r="B13" s="67" t="n">
        <f>0</f>
        <v>0</v>
      </c>
      <c r="C13" s="145" t="n">
        <f>C7*Assumptions!$B$22</f>
        <v>162</v>
      </c>
      <c r="D13" s="145" t="n">
        <f>D7*Assumptions!$B$22</f>
        <v>270</v>
      </c>
      <c r="E13" s="145" t="n">
        <f>E7*Assumptions!$B$22</f>
        <v>270</v>
      </c>
      <c r="F13" s="145" t="n">
        <f>F7*Assumptions!$B$22</f>
        <v>270</v>
      </c>
      <c r="G13" s="146" t="n">
        <f>G7*Assumptions!$B$22</f>
        <v>270</v>
      </c>
    </row>
    <row r="14" ht="21" customHeight="1">
      <c r="A14" s="66" t="inlineStr">
        <is>
          <t xml:space="preserve">Less: Integration Costs</t>
        </is>
      </c>
      <c r="B14" s="67" t="n">
        <f>0</f>
        <v>0</v>
      </c>
      <c r="C14" s="145" t="n">
        <f>-Assumptions!$B$23</f>
        <v>-300</v>
      </c>
      <c r="D14" s="67" t="n">
        <f>0</f>
        <v>0</v>
      </c>
      <c r="E14" s="67" t="n">
        <f>0</f>
        <v>0</v>
      </c>
      <c r="F14" s="67" t="n">
        <f>0</f>
        <v>0</v>
      </c>
      <c r="G14" s="68" t="n">
        <f>0</f>
        <v>0</v>
      </c>
    </row>
    <row r="15" ht="23" customHeight="1">
      <c r="A15" s="131" t="inlineStr">
        <is>
          <t xml:space="preserve">EBITDA</t>
        </is>
      </c>
      <c r="B15" s="132" t="n">
        <f>SUM(B10:B14)</f>
        <v>3240</v>
      </c>
      <c r="C15" s="132" t="n">
        <f>SUM(C10:C14)</f>
        <v>8268</v>
      </c>
      <c r="D15" s="132" t="n">
        <f>SUM(D10:D14)</f>
        <v>10803.12</v>
      </c>
      <c r="E15" s="132" t="n">
        <f>SUM(E10:E14)</f>
        <v>11303.894400000001</v>
      </c>
      <c r="F15" s="132" t="n">
        <f>SUM(F10:F14)</f>
        <v>11864.761728000001</v>
      </c>
      <c r="G15" s="132" t="n">
        <f>SUM(G10:G14)</f>
        <v>12492.933135360003</v>
      </c>
    </row>
    <row r="16" ht="21" customHeight="1">
      <c r="A16" s="66" t="inlineStr">
        <is>
          <t xml:space="preserve">EBITDA Margin %</t>
        </is>
      </c>
      <c r="B16" s="158" t="n">
        <f>IF(B8=0,"n.a.",B15/B8)</f>
        <v>0.18</v>
      </c>
      <c r="C16" s="158" t="n">
        <f>IF(C8=0,"n.a.",C15/C8)</f>
        <v>0.24607142857142858</v>
      </c>
      <c r="D16" s="158" t="n">
        <f>IF(D8=0,"n.a.",D15/D8)</f>
        <v>0.29449133137062483</v>
      </c>
      <c r="E16" s="158" t="n">
        <f>IF(E8=0,"n.a.",E15/E8)</f>
        <v>0.28642050084528287</v>
      </c>
      <c r="F16" s="158" t="n">
        <f>IF(F8=0,"n.a.",F15/F8)</f>
        <v>0.2786332030698711</v>
      </c>
      <c r="G16" s="159" t="n">
        <f>IF(G8=0,"n.a.",G15/G8)</f>
        <v>0.27116195532513254</v>
      </c>
    </row>
    <row r="17" ht="21" customHeight="1">
      <c r="A17" s="66"/>
      <c r="B17" s="67"/>
      <c r="C17" s="67"/>
      <c r="D17" s="67"/>
      <c r="E17" s="67"/>
      <c r="F17" s="67"/>
      <c r="G17" s="68"/>
    </row>
    <row r="18" ht="21" customHeight="1">
      <c r="A18" s="66" t="inlineStr">
        <is>
          <t xml:space="preserve">Less: D&amp;A</t>
        </is>
      </c>
      <c r="B18" s="145" t="n">
        <f>B8*Assumptions!$B$25</f>
        <v>1080</v>
      </c>
      <c r="C18" s="145" t="n">
        <f>C8*Assumptions!$B$25</f>
        <v>2016</v>
      </c>
      <c r="D18" s="145" t="n">
        <f>D8*Assumptions!$B$25</f>
        <v>2201.04</v>
      </c>
      <c r="E18" s="145" t="n">
        <f>E8*Assumptions!$B$25</f>
        <v>2367.9648</v>
      </c>
      <c r="F18" s="145" t="n">
        <f>F8*Assumptions!$B$25</f>
        <v>2554.920576</v>
      </c>
      <c r="G18" s="146" t="n">
        <f>G8*Assumptions!$B$25</f>
        <v>2764.3110451200005</v>
      </c>
    </row>
    <row r="19" ht="23" customHeight="1">
      <c r="A19" s="131" t="inlineStr">
        <is>
          <t xml:space="preserve">EBIT</t>
        </is>
      </c>
      <c r="B19" s="132" t="n">
        <f>B15-B18</f>
        <v>2160</v>
      </c>
      <c r="C19" s="132" t="n">
        <f>C15-C18</f>
        <v>6252</v>
      </c>
      <c r="D19" s="132" t="n">
        <f>D15-D18</f>
        <v>8602.080000000002</v>
      </c>
      <c r="E19" s="132" t="n">
        <f>E15-E18</f>
        <v>8935.929600000001</v>
      </c>
      <c r="F19" s="132" t="n">
        <f>F15-F18</f>
        <v>9309.841152</v>
      </c>
      <c r="G19" s="132" t="n">
        <f>G15-G18</f>
        <v>9728.622090240002</v>
      </c>
    </row>
    <row r="20" ht="21" customHeight="1">
      <c r="A20" s="66"/>
      <c r="B20" s="67"/>
      <c r="C20" s="67"/>
      <c r="D20" s="67"/>
      <c r="E20" s="67"/>
      <c r="F20" s="67"/>
      <c r="G20" s="68"/>
    </row>
    <row r="21" ht="21" customHeight="1">
      <c r="A21" s="66" t="inlineStr">
        <is>
          <t xml:space="preserve">Less: Interest Expense</t>
        </is>
      </c>
      <c r="B21" s="67" t="n">
        <f>0</f>
        <v>0</v>
      </c>
      <c r="C21" s="145" t="n">
        <f>'Debt Schedule'!C11</f>
        <v>1178.8636363636363</v>
      </c>
      <c r="D21" s="145" t="n">
        <f>'Debt Schedule'!D11</f>
        <v>1066.590909090909</v>
      </c>
      <c r="E21" s="145" t="n">
        <f>'Debt Schedule'!E11</f>
        <v>954.3181818181818</v>
      </c>
      <c r="F21" s="145" t="n">
        <f>'Debt Schedule'!F11</f>
        <v>842.0454545454545</v>
      </c>
      <c r="G21" s="146" t="n">
        <f>'Debt Schedule'!G11</f>
        <v>729.7727272727273</v>
      </c>
    </row>
    <row r="22" ht="23" customHeight="1">
      <c r="A22" s="131" t="inlineStr">
        <is>
          <t xml:space="preserve">EBT</t>
        </is>
      </c>
      <c r="B22" s="132" t="n">
        <f>B19-B21</f>
        <v>2160</v>
      </c>
      <c r="C22" s="132" t="n">
        <f>C19-C21</f>
        <v>5073.136363636364</v>
      </c>
      <c r="D22" s="132" t="n">
        <f>D19-D21</f>
        <v>7535.489090909093</v>
      </c>
      <c r="E22" s="132" t="n">
        <f>E19-E21</f>
        <v>7981.611418181819</v>
      </c>
      <c r="F22" s="132" t="n">
        <f>F19-F21</f>
        <v>8467.795697454547</v>
      </c>
      <c r="G22" s="132" t="n">
        <f>G19-G21</f>
        <v>8998.849362967274</v>
      </c>
    </row>
    <row r="23" ht="21" customHeight="1">
      <c r="A23" s="66"/>
      <c r="B23" s="67"/>
      <c r="C23" s="67"/>
      <c r="D23" s="67"/>
      <c r="E23" s="67"/>
      <c r="F23" s="67"/>
      <c r="G23" s="68"/>
    </row>
    <row r="24" ht="21" customHeight="1">
      <c r="A24" s="66" t="inlineStr">
        <is>
          <t xml:space="preserve">Less: Taxes</t>
        </is>
      </c>
      <c r="B24" s="145" t="n">
        <f>MAX(0,B22)*'Assumptions'!$B$28</f>
        <v>518.4</v>
      </c>
      <c r="C24" s="145" t="n">
        <f>MAX(0,C22)*'Assumptions'!$B$28</f>
        <v>1217.5527272727272</v>
      </c>
      <c r="D24" s="145" t="n">
        <f>MAX(0,D22)*'Assumptions'!$B$28</f>
        <v>1808.5173818181822</v>
      </c>
      <c r="E24" s="145" t="n">
        <f>MAX(0,E22)*'Assumptions'!$B$28</f>
        <v>1915.5867403636366</v>
      </c>
      <c r="F24" s="145" t="n">
        <f>MAX(0,F22)*'Assumptions'!$B$28</f>
        <v>2032.270967389091</v>
      </c>
      <c r="G24" s="146" t="n">
        <f>MAX(0,G22)*'Assumptions'!$B$28</f>
        <v>2159.7238471121454</v>
      </c>
    </row>
    <row r="25" ht="23" customHeight="1">
      <c r="A25" s="131" t="inlineStr">
        <is>
          <t xml:space="preserve">NET INCOME</t>
        </is>
      </c>
      <c r="B25" s="132" t="n">
        <f>B22-B24</f>
        <v>1641.6</v>
      </c>
      <c r="C25" s="132" t="n">
        <f>C22-C24</f>
        <v>3855.5836363636367</v>
      </c>
      <c r="D25" s="132" t="n">
        <f>D22-D24</f>
        <v>5726.971709090911</v>
      </c>
      <c r="E25" s="132" t="n">
        <f>E22-E24</f>
        <v>6066.024677818183</v>
      </c>
      <c r="F25" s="132" t="n">
        <f>F22-F24</f>
        <v>6435.5247300654555</v>
      </c>
      <c r="G25" s="132" t="n">
        <f>G22-G24</f>
        <v>6839.1255158551285</v>
      </c>
    </row>
    <row r="26" ht="21" customHeight="1">
      <c r="A26" s="66"/>
      <c r="B26" s="67"/>
      <c r="C26" s="67"/>
      <c r="D26" s="67"/>
      <c r="E26" s="67"/>
      <c r="F26" s="67"/>
      <c r="G26" s="68"/>
    </row>
    <row r="27" ht="21" customHeight="1">
      <c r="A27" s="66"/>
      <c r="B27" s="67"/>
      <c r="C27" s="67"/>
      <c r="D27" s="67"/>
      <c r="E27" s="67"/>
      <c r="F27" s="67"/>
      <c r="G27" s="68"/>
    </row>
    <row r="28" ht="21" customHeight="1">
      <c r="A28" s="66"/>
      <c r="B28" s="67"/>
      <c r="C28" s="67"/>
      <c r="D28" s="67"/>
      <c r="E28" s="67"/>
      <c r="F28" s="67"/>
      <c r="G28" s="68"/>
    </row>
    <row r="29" ht="21" customHeight="1">
      <c r="A29" s="66"/>
      <c r="B29" s="67"/>
      <c r="C29" s="67"/>
      <c r="D29" s="67"/>
      <c r="E29" s="67"/>
      <c r="F29" s="67"/>
      <c r="G29" s="68"/>
    </row>
    <row r="30" ht="21" customHeight="1">
      <c r="A30" s="66"/>
      <c r="B30" s="67"/>
      <c r="C30" s="67"/>
      <c r="D30" s="67"/>
      <c r="E30" s="67"/>
      <c r="F30" s="67"/>
      <c r="G30" s="68"/>
    </row>
    <row r="31" ht="21" customHeight="1">
      <c r="A31" s="66"/>
      <c r="B31" s="67"/>
      <c r="C31" s="67"/>
      <c r="D31" s="67"/>
      <c r="E31" s="67"/>
      <c r="F31" s="67"/>
      <c r="G31" s="68"/>
    </row>
    <row r="32" ht="21" customHeight="1">
      <c r="A32" s="69"/>
      <c r="B32" s="70"/>
      <c r="C32" s="70"/>
      <c r="D32" s="70"/>
      <c r="E32" s="70"/>
      <c r="F32" s="70"/>
      <c r="G32" s="71"/>
    </row>
  </sheetData>
  <printOptions horizontalCentered="1" gridLines="0" headings="0"/>
  <pageMargins left="0.3" right="0.3" top="0.4" bottom="0.4" header="0.15" footer="0.2"/>
  <pageSetup paperSize="1" orientation="landscape" fitToWidth="1" fitToHeight="0"/>
  <headerFooter>
    <oddFooter>&amp;LZachary Vorsteg | Illustrative model&amp;RPage &amp;P of &amp;N</oddFooter>
  </headerFooter>
</worksheet>
</file>

<file path=xl/worksheets/sheet4.xml><?xml version="1.0" encoding="utf-8"?>
<worksheet xmlns="http://schemas.openxmlformats.org/spreadsheetml/2006/main">
  <sheetPr>
    <tabColor rgb="FF19312D"/>
    <pageSetUpPr fitToPage="1"/>
  </sheetPr>
  <sheetViews>
    <sheetView showGridLines="0" workbookViewId="0">
      <pane xSplit="1" ySplit="3" topLeftCell="B4" activePane="bottomRight" state="frozen"/>
    </sheetView>
  </sheetViews>
  <sheetFormatPr baseColWidth="8" defaultRowHeight="15"/>
  <cols>
    <col min="1" max="1" width="43" hidden="0" customWidth="1"/>
    <col min="2" max="2" width="14" hidden="0" customWidth="1"/>
    <col min="3" max="3" width="14" hidden="0" customWidth="1"/>
    <col min="4" max="4" width="14" hidden="0" customWidth="1"/>
    <col min="5" max="5" width="14" hidden="0" customWidth="1"/>
    <col min="6" max="6" width="14" hidden="0" customWidth="1"/>
    <col min="7" max="7" width="14" hidden="0" customWidth="1"/>
  </cols>
  <sheetData>
    <row r="1" ht="32" customHeight="1">
      <c r="A1" s="77" t="str">
        <v>Debt Schedule</v>
      </c>
      <c r="B1" s="78"/>
      <c r="C1" s="78"/>
      <c r="D1" s="78"/>
      <c r="E1" s="78"/>
      <c r="F1" s="78"/>
      <c r="G1" s="78"/>
    </row>
    <row r="2" ht="24" customHeight="1">
      <c r="A2" s="82" t="str">
        <v>Zachary Vorsteg. Illustrative annual model in USD thousands.</v>
      </c>
      <c r="B2" s="83"/>
      <c r="C2" s="83"/>
      <c r="D2" s="83"/>
      <c r="E2" s="83"/>
      <c r="F2" s="83"/>
      <c r="G2" s="84"/>
    </row>
    <row r="3" ht="24" customHeight="1">
      <c r="A3" s="125" t="inlineStr">
        <is>
          <t xml:space="preserve">Period</t>
        </is>
      </c>
      <c r="B3" s="137" t="inlineStr">
        <is>
          <t xml:space="preserve">Year 0</t>
        </is>
      </c>
      <c r="C3" s="137" t="inlineStr">
        <is>
          <t xml:space="preserve">Year 1</t>
        </is>
      </c>
      <c r="D3" s="137" t="inlineStr">
        <is>
          <t xml:space="preserve">Year 2</t>
        </is>
      </c>
      <c r="E3" s="137" t="inlineStr">
        <is>
          <t xml:space="preserve">Year 3</t>
        </is>
      </c>
      <c r="F3" s="137" t="inlineStr">
        <is>
          <t xml:space="preserve">Year 4</t>
        </is>
      </c>
      <c r="G3" s="138" t="inlineStr">
        <is>
          <t xml:space="preserve">Year 5</t>
        </is>
      </c>
    </row>
    <row r="4" ht="21" customHeight="1">
      <c r="A4" s="66"/>
      <c r="B4" s="67"/>
      <c r="C4" s="67"/>
      <c r="D4" s="67"/>
      <c r="E4" s="67"/>
      <c r="F4" s="67"/>
      <c r="G4" s="68"/>
    </row>
    <row r="5" ht="21" customHeight="1">
      <c r="A5" s="66" t="inlineStr">
        <is>
          <t xml:space="preserve">Beginning Debt</t>
        </is>
      </c>
      <c r="B5" s="67" t="n">
        <f>0</f>
        <v>0</v>
      </c>
      <c r="C5" s="67" t="n">
        <f>B7</f>
        <v>16500</v>
      </c>
      <c r="D5" s="67" t="n">
        <f>C7</f>
        <v>15000</v>
      </c>
      <c r="E5" s="67" t="n">
        <f>D7</f>
        <v>13500</v>
      </c>
      <c r="F5" s="67" t="n">
        <f>E7</f>
        <v>12000</v>
      </c>
      <c r="G5" s="68" t="n">
        <f>F7</f>
        <v>10500</v>
      </c>
    </row>
    <row r="6" ht="21" customHeight="1">
      <c r="A6" s="66" t="inlineStr">
        <is>
          <t xml:space="preserve">New Debt Issued</t>
        </is>
      </c>
      <c r="B6" s="145" t="n">
        <f>Assumptions!$B$31+Assumptions!$B$33+Assumptions!$B$35</f>
        <v>16500</v>
      </c>
      <c r="C6" s="67" t="n">
        <f>0</f>
        <v>0</v>
      </c>
      <c r="D6" s="67" t="n">
        <f>0</f>
        <v>0</v>
      </c>
      <c r="E6" s="67" t="n">
        <f>0</f>
        <v>0</v>
      </c>
      <c r="F6" s="67" t="n">
        <f>0</f>
        <v>0</v>
      </c>
      <c r="G6" s="68" t="n">
        <f>0</f>
        <v>0</v>
      </c>
    </row>
    <row r="7" ht="23" customHeight="1">
      <c r="A7" s="131" t="inlineStr">
        <is>
          <t xml:space="preserve">Ending Debt</t>
        </is>
      </c>
      <c r="B7" s="132" t="n">
        <f>SUM(B5:B6)</f>
        <v>16500</v>
      </c>
      <c r="C7" s="132" t="n">
        <f>SUM(C5:C6)-C12</f>
        <v>15000</v>
      </c>
      <c r="D7" s="132" t="n">
        <f>SUM(D5:D6)-D12</f>
        <v>13500</v>
      </c>
      <c r="E7" s="132" t="n">
        <f>SUM(E5:E6)-E12</f>
        <v>12000</v>
      </c>
      <c r="F7" s="132" t="n">
        <f>SUM(F5:F6)-F12</f>
        <v>10500</v>
      </c>
      <c r="G7" s="132" t="n">
        <f>SUM(G5:G6)-G12</f>
        <v>9000</v>
      </c>
    </row>
    <row r="8" ht="21" customHeight="1">
      <c r="A8" s="66"/>
      <c r="B8" s="67"/>
      <c r="C8" s="67"/>
      <c r="D8" s="67"/>
      <c r="E8" s="67"/>
      <c r="F8" s="67"/>
      <c r="G8" s="68"/>
    </row>
    <row r="9" ht="21" customHeight="1">
      <c r="A9" s="66" t="inlineStr">
        <is>
          <t xml:space="preserve">Average Debt</t>
        </is>
      </c>
      <c r="B9" s="67" t="n">
        <f>0</f>
        <v>0</v>
      </c>
      <c r="C9" s="67" t="n">
        <f>(C5+C7)/2</f>
        <v>15750</v>
      </c>
      <c r="D9" s="67" t="n">
        <f>(D5+D7)/2</f>
        <v>14250</v>
      </c>
      <c r="E9" s="67" t="n">
        <f>(E5+E7)/2</f>
        <v>12750</v>
      </c>
      <c r="F9" s="67" t="n">
        <f>(F5+F7)/2</f>
        <v>11250</v>
      </c>
      <c r="G9" s="68" t="n">
        <f>(G5+G7)/2</f>
        <v>9750</v>
      </c>
    </row>
    <row r="10" ht="21" customHeight="1">
      <c r="A10" s="66" t="str">
        <v>Blended cash interest rate</v>
      </c>
      <c r="B10" s="160" t="n">
        <f>IF(SUM('Assumptions'!B31,'Assumptions'!B33,'Assumptions'!B35)=0,0,('Assumptions'!B31*'Assumptions'!B32+'Assumptions'!B33*'Assumptions'!B34+'Assumptions'!B35*'Assumptions'!B36)/SUM('Assumptions'!B31,'Assumptions'!B33,'Assumptions'!B35))</f>
        <v>0.07484848484848484</v>
      </c>
      <c r="C10" s="161" t="n">
        <f>B10</f>
        <v>0.07484848484848484</v>
      </c>
      <c r="D10" s="161" t="n">
        <f>B10</f>
        <v>0.07484848484848484</v>
      </c>
      <c r="E10" s="161" t="n">
        <f>B10</f>
        <v>0.07484848484848484</v>
      </c>
      <c r="F10" s="161" t="n">
        <f>B10</f>
        <v>0.07484848484848484</v>
      </c>
      <c r="G10" s="162" t="n">
        <f>B10</f>
        <v>0.07484848484848484</v>
      </c>
    </row>
    <row r="11" ht="23" customHeight="1">
      <c r="A11" s="131" t="inlineStr">
        <is>
          <t xml:space="preserve">Interest Expense</t>
        </is>
      </c>
      <c r="B11" s="132" t="n">
        <f>0</f>
        <v>0</v>
      </c>
      <c r="C11" s="132" t="n">
        <f>C9*C10</f>
        <v>1178.8636363636363</v>
      </c>
      <c r="D11" s="132" t="n">
        <f>D9*D10</f>
        <v>1066.590909090909</v>
      </c>
      <c r="E11" s="132" t="n">
        <f>E9*E10</f>
        <v>954.3181818181818</v>
      </c>
      <c r="F11" s="132" t="n">
        <f>F9*F10</f>
        <v>842.0454545454545</v>
      </c>
      <c r="G11" s="132" t="n">
        <f>G9*G10</f>
        <v>729.7727272727273</v>
      </c>
    </row>
    <row r="12" ht="23" customHeight="1">
      <c r="A12" s="131" t="str">
        <v>Principal repaid</v>
      </c>
      <c r="B12" s="132" t="n">
        <f>0</f>
        <v>0</v>
      </c>
      <c r="C12" s="147" t="n">
        <f>MIN(C5,'Assumptions'!$B$37)</f>
        <v>1500</v>
      </c>
      <c r="D12" s="147" t="n">
        <f>MIN(D5,'Assumptions'!$B$37)</f>
        <v>1500</v>
      </c>
      <c r="E12" s="147" t="n">
        <f>MIN(E5,'Assumptions'!$B$37)</f>
        <v>1500</v>
      </c>
      <c r="F12" s="147" t="n">
        <f>MIN(F5,'Assumptions'!$B$37)</f>
        <v>1500</v>
      </c>
      <c r="G12" s="147" t="n">
        <f>MIN(G5,'Assumptions'!$B$37)</f>
        <v>1500</v>
      </c>
    </row>
    <row r="13" ht="24" customHeight="1">
      <c r="A13" s="125" t="inlineStr">
        <is>
          <t xml:space="preserve">METRICS</t>
        </is>
      </c>
      <c r="B13" s="126"/>
      <c r="C13" s="126"/>
      <c r="D13" s="126"/>
      <c r="E13" s="126"/>
      <c r="F13" s="126"/>
      <c r="G13" s="140"/>
    </row>
    <row r="14" ht="21" customHeight="1">
      <c r="A14" s="66" t="inlineStr">
        <is>
          <t xml:space="preserve">Debt/EBITDA</t>
        </is>
      </c>
      <c r="B14" s="163" t="n">
        <f>IF('Pro Forma P&amp;L'!B15=0,"n.a.",B7/'Pro Forma P&amp;L'!B15)</f>
        <v>5.092592592592593</v>
      </c>
      <c r="C14" s="163" t="n">
        <f>IF('Pro Forma P&amp;L'!C15=0,"n.a.",C7/'Pro Forma P&amp;L'!C15)</f>
        <v>1.8142235123367199</v>
      </c>
      <c r="D14" s="163" t="n">
        <f>IF('Pro Forma P&amp;L'!D15=0,"n.a.",D7/'Pro Forma P&amp;L'!D15)</f>
        <v>1.249638993179748</v>
      </c>
      <c r="E14" s="163" t="n">
        <f>IF('Pro Forma P&amp;L'!E15=0,"n.a.",E7/'Pro Forma P&amp;L'!E15)</f>
        <v>1.0615810423706717</v>
      </c>
      <c r="F14" s="163" t="n">
        <f>IF('Pro Forma P&amp;L'!F15=0,"n.a.",F7/'Pro Forma P&amp;L'!F15)</f>
        <v>0.8849735241813361</v>
      </c>
      <c r="G14" s="164" t="n">
        <f>IF('Pro Forma P&amp;L'!G15=0,"n.a.",G7/'Pro Forma P&amp;L'!G15)</f>
        <v>0.7204072816596125</v>
      </c>
    </row>
    <row r="15" ht="21" customHeight="1">
      <c r="A15" s="66" t="inlineStr">
        <is>
          <t xml:space="preserve">Interest Coverage</t>
        </is>
      </c>
      <c r="B15" s="150" t="n"/>
      <c r="C15" s="163" t="n">
        <f>IF(C11=0,"n.a.",'Pro Forma P&amp;L'!C15/C11)</f>
        <v>7.013533834586466</v>
      </c>
      <c r="D15" s="163" t="n">
        <f>IF(D11=0,"n.a.",'Pro Forma P&amp;L'!D15/D11)</f>
        <v>10.128644363946304</v>
      </c>
      <c r="E15" s="163" t="n">
        <f>IF(E11=0,"n.a.",'Pro Forma P&amp;L'!E15/E11)</f>
        <v>11.844995322695882</v>
      </c>
      <c r="F15" s="163" t="n">
        <f>IF(F11=0,"n.a.",'Pro Forma P&amp;L'!F15/F11)</f>
        <v>14.090405291012148</v>
      </c>
      <c r="G15" s="164" t="n">
        <f>IF(G11=0,"n.a.",'Pro Forma P&amp;L'!G15/G11)</f>
        <v>17.11893671615821</v>
      </c>
    </row>
    <row r="16" ht="21" customHeight="1">
      <c r="A16" s="66"/>
      <c r="B16" s="67"/>
      <c r="C16" s="67"/>
      <c r="D16" s="67"/>
      <c r="E16" s="67"/>
      <c r="F16" s="67"/>
      <c r="G16" s="68"/>
    </row>
    <row r="17" ht="21" customHeight="1">
      <c r="A17" s="66"/>
      <c r="B17" s="67"/>
      <c r="C17" s="67"/>
      <c r="D17" s="67"/>
      <c r="E17" s="67"/>
      <c r="F17" s="67"/>
      <c r="G17" s="68"/>
    </row>
    <row r="18" ht="21" customHeight="1">
      <c r="A18" s="66"/>
      <c r="B18" s="67"/>
      <c r="C18" s="67"/>
      <c r="D18" s="67"/>
      <c r="E18" s="67"/>
      <c r="F18" s="67"/>
      <c r="G18" s="68"/>
    </row>
    <row r="19" ht="21" customHeight="1">
      <c r="A19" s="66"/>
      <c r="B19" s="67"/>
      <c r="C19" s="67"/>
      <c r="D19" s="67"/>
      <c r="E19" s="67"/>
      <c r="F19" s="67"/>
      <c r="G19" s="68"/>
    </row>
    <row r="20" ht="21" customHeight="1">
      <c r="A20" s="66"/>
      <c r="B20" s="67"/>
      <c r="C20" s="67"/>
      <c r="D20" s="67"/>
      <c r="E20" s="67"/>
      <c r="F20" s="67"/>
      <c r="G20" s="68"/>
    </row>
    <row r="21" ht="21" customHeight="1">
      <c r="A21" s="66"/>
      <c r="B21" s="67"/>
      <c r="C21" s="67"/>
      <c r="D21" s="67"/>
      <c r="E21" s="67"/>
      <c r="F21" s="67"/>
      <c r="G21" s="68"/>
    </row>
    <row r="22" ht="21" customHeight="1">
      <c r="A22" s="66"/>
      <c r="B22" s="67"/>
      <c r="C22" s="67"/>
      <c r="D22" s="67"/>
      <c r="E22" s="67"/>
      <c r="F22" s="67"/>
      <c r="G22" s="68"/>
    </row>
    <row r="23" ht="21" customHeight="1">
      <c r="A23" s="66"/>
      <c r="B23" s="67"/>
      <c r="C23" s="67"/>
      <c r="D23" s="67"/>
      <c r="E23" s="67"/>
      <c r="F23" s="67"/>
      <c r="G23" s="68"/>
    </row>
    <row r="24" ht="21" customHeight="1">
      <c r="A24" s="66"/>
      <c r="B24" s="67"/>
      <c r="C24" s="67"/>
      <c r="D24" s="67"/>
      <c r="E24" s="67"/>
      <c r="F24" s="67"/>
      <c r="G24" s="68"/>
    </row>
    <row r="25" ht="21" customHeight="1">
      <c r="A25" s="66"/>
      <c r="B25" s="67"/>
      <c r="C25" s="67"/>
      <c r="D25" s="67"/>
      <c r="E25" s="67"/>
      <c r="F25" s="67"/>
      <c r="G25" s="68"/>
    </row>
    <row r="26" ht="21" customHeight="1">
      <c r="A26" s="66"/>
      <c r="B26" s="67"/>
      <c r="C26" s="67"/>
      <c r="D26" s="67"/>
      <c r="E26" s="67"/>
      <c r="F26" s="67"/>
      <c r="G26" s="68"/>
    </row>
    <row r="27" ht="21" customHeight="1">
      <c r="A27" s="66"/>
      <c r="B27" s="67"/>
      <c r="C27" s="67"/>
      <c r="D27" s="67"/>
      <c r="E27" s="67"/>
      <c r="F27" s="67"/>
      <c r="G27" s="68"/>
    </row>
    <row r="28" ht="21" customHeight="1">
      <c r="A28" s="66"/>
      <c r="B28" s="67"/>
      <c r="C28" s="67"/>
      <c r="D28" s="67"/>
      <c r="E28" s="67"/>
      <c r="F28" s="67"/>
      <c r="G28" s="68"/>
    </row>
    <row r="29" ht="21" customHeight="1">
      <c r="A29" s="66"/>
      <c r="B29" s="67"/>
      <c r="C29" s="67"/>
      <c r="D29" s="67"/>
      <c r="E29" s="67"/>
      <c r="F29" s="67"/>
      <c r="G29" s="68"/>
    </row>
    <row r="30" ht="21" customHeight="1">
      <c r="A30" s="66"/>
      <c r="B30" s="67"/>
      <c r="C30" s="67"/>
      <c r="D30" s="67"/>
      <c r="E30" s="67"/>
      <c r="F30" s="67"/>
      <c r="G30" s="68"/>
    </row>
    <row r="31" ht="21" customHeight="1">
      <c r="A31" s="66"/>
      <c r="B31" s="67"/>
      <c r="C31" s="67"/>
      <c r="D31" s="67"/>
      <c r="E31" s="67"/>
      <c r="F31" s="67"/>
      <c r="G31" s="68"/>
    </row>
    <row r="32" ht="21" customHeight="1">
      <c r="A32" s="69"/>
      <c r="B32" s="70"/>
      <c r="C32" s="70"/>
      <c r="D32" s="70"/>
      <c r="E32" s="70"/>
      <c r="F32" s="70"/>
      <c r="G32" s="71"/>
    </row>
  </sheetData>
  <printOptions horizontalCentered="1" gridLines="0" headings="0"/>
  <pageMargins left="0.3" right="0.3" top="0.4" bottom="0.4" header="0.15" footer="0.2"/>
  <pageSetup paperSize="1" orientation="landscape" fitToWidth="1" fitToHeight="0"/>
  <headerFooter>
    <oddFooter>&amp;LZachary Vorsteg | Illustrative model&amp;RPage &amp;P of &amp;N</oddFooter>
  </headerFooter>
</worksheet>
</file>

<file path=xl/worksheets/sheet5.xml><?xml version="1.0" encoding="utf-8"?>
<worksheet xmlns="http://schemas.openxmlformats.org/spreadsheetml/2006/main">
  <sheetPr>
    <tabColor rgb="FF19312D"/>
    <pageSetUpPr fitToPage="1"/>
  </sheetPr>
  <sheetViews>
    <sheetView showGridLines="0" workbookViewId="0">
      <pane xSplit="1" ySplit="3" topLeftCell="B4" activePane="bottomRight" state="frozen"/>
    </sheetView>
  </sheetViews>
  <sheetFormatPr baseColWidth="8" defaultRowHeight="15"/>
  <cols>
    <col min="1" max="1" width="43" hidden="0" customWidth="1"/>
    <col min="2" max="2" width="14" hidden="0" customWidth="1"/>
    <col min="3" max="3" width="14" hidden="0" customWidth="1"/>
    <col min="4" max="4" width="14" hidden="0" customWidth="1"/>
    <col min="5" max="5" width="14" hidden="0" customWidth="1"/>
    <col min="6" max="6" width="14" hidden="0" customWidth="1"/>
    <col min="7" max="7" width="14" hidden="0" customWidth="1"/>
  </cols>
  <sheetData>
    <row r="1" ht="32" customHeight="1">
      <c r="A1" s="77" t="str">
        <v>Returns</v>
      </c>
      <c r="B1" s="78"/>
      <c r="C1" s="78"/>
      <c r="D1" s="78"/>
      <c r="E1" s="78"/>
      <c r="F1" s="78"/>
      <c r="G1" s="78"/>
    </row>
    <row r="2" ht="24" customHeight="1">
      <c r="A2" s="82" t="str">
        <v>Zachary Vorsteg. Illustrative annual model in USD thousands.</v>
      </c>
      <c r="B2" s="83"/>
      <c r="C2" s="83"/>
      <c r="D2" s="83"/>
      <c r="E2" s="83"/>
      <c r="F2" s="83"/>
      <c r="G2" s="84"/>
    </row>
    <row r="3" ht="24" customHeight="1">
      <c r="A3" s="125" t="inlineStr">
        <is>
          <t xml:space="preserve">Period</t>
        </is>
      </c>
      <c r="B3" s="137" t="inlineStr">
        <is>
          <t xml:space="preserve">Year 0</t>
        </is>
      </c>
      <c r="C3" s="137" t="inlineStr">
        <is>
          <t xml:space="preserve">Year 1</t>
        </is>
      </c>
      <c r="D3" s="137" t="inlineStr">
        <is>
          <t xml:space="preserve">Year 2</t>
        </is>
      </c>
      <c r="E3" s="137" t="inlineStr">
        <is>
          <t xml:space="preserve">Year 3</t>
        </is>
      </c>
      <c r="F3" s="137" t="inlineStr">
        <is>
          <t xml:space="preserve">Year 4</t>
        </is>
      </c>
      <c r="G3" s="138" t="inlineStr">
        <is>
          <t xml:space="preserve">Year 5</t>
        </is>
      </c>
    </row>
    <row r="4" ht="21" customHeight="1">
      <c r="A4" s="66"/>
      <c r="B4" s="67"/>
      <c r="C4" s="67"/>
      <c r="D4" s="67"/>
      <c r="E4" s="67"/>
      <c r="F4" s="67"/>
      <c r="G4" s="68"/>
    </row>
    <row r="5" ht="21" customHeight="1">
      <c r="A5" s="66" t="inlineStr">
        <is>
          <t xml:space="preserve">EBITDA</t>
        </is>
      </c>
      <c r="B5" s="67"/>
      <c r="C5" s="145" t="n">
        <f>'Pro Forma P&amp;L'!C15</f>
        <v>8268</v>
      </c>
      <c r="D5" s="145" t="n">
        <f>'Pro Forma P&amp;L'!D15</f>
        <v>10803.12</v>
      </c>
      <c r="E5" s="145" t="n">
        <f>'Pro Forma P&amp;L'!E15</f>
        <v>11303.894400000001</v>
      </c>
      <c r="F5" s="145" t="n">
        <f>'Pro Forma P&amp;L'!F15</f>
        <v>11864.761728000001</v>
      </c>
      <c r="G5" s="146" t="n">
        <f>'Pro Forma P&amp;L'!G15</f>
        <v>12492.933135360003</v>
      </c>
    </row>
    <row r="6" ht="21" customHeight="1">
      <c r="A6" s="66" t="inlineStr">
        <is>
          <t xml:space="preserve">Less: Taxes</t>
        </is>
      </c>
      <c r="B6" s="67"/>
      <c r="C6" s="145" t="n">
        <f>-'Pro Forma P&amp;L'!C24</f>
        <v>-1217.5527272727272</v>
      </c>
      <c r="D6" s="145" t="n">
        <f>-'Pro Forma P&amp;L'!D24</f>
        <v>-1808.5173818181822</v>
      </c>
      <c r="E6" s="145" t="n">
        <f>-'Pro Forma P&amp;L'!E24</f>
        <v>-1915.5867403636366</v>
      </c>
      <c r="F6" s="145" t="n">
        <f>-'Pro Forma P&amp;L'!F24</f>
        <v>-2032.270967389091</v>
      </c>
      <c r="G6" s="146" t="n">
        <f>-'Pro Forma P&amp;L'!G24</f>
        <v>-2159.7238471121454</v>
      </c>
    </row>
    <row r="7" ht="21" customHeight="1">
      <c r="A7" s="66" t="str">
        <v>Less: cash interest</v>
      </c>
      <c r="B7" s="67"/>
      <c r="C7" s="145" t="n">
        <f>-'Pro Forma P&amp;L'!C21</f>
        <v>-1178.8636363636363</v>
      </c>
      <c r="D7" s="145" t="n">
        <f>-'Pro Forma P&amp;L'!D21</f>
        <v>-1066.590909090909</v>
      </c>
      <c r="E7" s="145" t="n">
        <f>-'Pro Forma P&amp;L'!E21</f>
        <v>-954.3181818181818</v>
      </c>
      <c r="F7" s="145" t="n">
        <f>-'Pro Forma P&amp;L'!F21</f>
        <v>-842.0454545454545</v>
      </c>
      <c r="G7" s="146" t="n">
        <f>-'Pro Forma P&amp;L'!G21</f>
        <v>-729.7727272727273</v>
      </c>
    </row>
    <row r="8" ht="21" customHeight="1">
      <c r="A8" s="66" t="inlineStr">
        <is>
          <t xml:space="preserve">Less: CapEx</t>
        </is>
      </c>
      <c r="B8" s="67"/>
      <c r="C8" s="145" t="n">
        <f>-'Pro Forma P&amp;L'!C8*Assumptions!$B$26</f>
        <v>-1344</v>
      </c>
      <c r="D8" s="145" t="n">
        <f>-'Pro Forma P&amp;L'!D8*Assumptions!$B$26</f>
        <v>-1467.3600000000001</v>
      </c>
      <c r="E8" s="145" t="n">
        <f>-'Pro Forma P&amp;L'!E8*Assumptions!$B$26</f>
        <v>-1578.6432000000002</v>
      </c>
      <c r="F8" s="145" t="n">
        <f>-'Pro Forma P&amp;L'!F8*Assumptions!$B$26</f>
        <v>-1703.2803840000001</v>
      </c>
      <c r="G8" s="146" t="n">
        <f>-'Pro Forma P&amp;L'!G8*Assumptions!$B$26</f>
        <v>-1842.8740300800005</v>
      </c>
    </row>
    <row r="9" ht="21" customHeight="1">
      <c r="A9" s="66" t="inlineStr">
        <is>
          <t xml:space="preserve">Less: Change in NWC</t>
        </is>
      </c>
      <c r="B9" s="67"/>
      <c r="C9" s="145" t="n">
        <f>-('Pro Forma P&amp;L'!C8-'Pro Forma P&amp;L'!B8)*Assumptions!$B$27</f>
        <v>-1872</v>
      </c>
      <c r="D9" s="145" t="n">
        <f>-('Pro Forma P&amp;L'!D8-'Pro Forma P&amp;L'!C8)*Assumptions!$B$27</f>
        <v>-370.08</v>
      </c>
      <c r="E9" s="145" t="n">
        <f>-('Pro Forma P&amp;L'!E8-'Pro Forma P&amp;L'!D8)*Assumptions!$B$27</f>
        <v>-333.8496000000002</v>
      </c>
      <c r="F9" s="145" t="n">
        <f>-('Pro Forma P&amp;L'!F8-'Pro Forma P&amp;L'!E8)*Assumptions!$B$27</f>
        <v>-373.91155200000037</v>
      </c>
      <c r="G9" s="146" t="n">
        <f>-('Pro Forma P&amp;L'!G8-'Pro Forma P&amp;L'!F8)*Assumptions!$B$27</f>
        <v>-418.780938240001</v>
      </c>
    </row>
    <row r="10" ht="21" customHeight="1">
      <c r="A10" s="66" t="inlineStr">
        <is>
          <t xml:space="preserve">Less: Debt Repayment</t>
        </is>
      </c>
      <c r="B10" s="67"/>
      <c r="C10" s="145" t="n">
        <f>-'Debt Schedule'!C12</f>
        <v>-1500</v>
      </c>
      <c r="D10" s="145" t="n">
        <f>-'Debt Schedule'!D12</f>
        <v>-1500</v>
      </c>
      <c r="E10" s="145" t="n">
        <f>-'Debt Schedule'!E12</f>
        <v>-1500</v>
      </c>
      <c r="F10" s="145" t="n">
        <f>-'Debt Schedule'!F12</f>
        <v>-1500</v>
      </c>
      <c r="G10" s="146" t="n">
        <f>-'Debt Schedule'!G12</f>
        <v>-1500</v>
      </c>
    </row>
    <row r="11" ht="23" customHeight="1">
      <c r="A11" s="131" t="str">
        <v>Equity cash flow before exit</v>
      </c>
      <c r="B11" s="147" t="n">
        <f>-Assumptions!$B$30</f>
        <v>-11000</v>
      </c>
      <c r="C11" s="147" t="n">
        <f>IF(1&lt;='Assumptions'!$B$39,SUM(C5:C10),0)</f>
        <v>1155.5836363636372</v>
      </c>
      <c r="D11" s="147" t="n">
        <f>IF(2&lt;='Assumptions'!$B$39,SUM(D5:D10),0)</f>
        <v>4590.571709090909</v>
      </c>
      <c r="E11" s="147" t="n">
        <f>IF(3&lt;='Assumptions'!$B$39,SUM(E5:E10),0)</f>
        <v>5021.4966778181815</v>
      </c>
      <c r="F11" s="147" t="n">
        <f>IF(4&lt;='Assumptions'!$B$39,SUM(F5:F10),0)</f>
        <v>5413.253370065456</v>
      </c>
      <c r="G11" s="147" t="n">
        <f>IF(5&lt;='Assumptions'!$B$39,SUM(G5:G10),0)</f>
        <v>5841.781592655128</v>
      </c>
    </row>
    <row r="12" ht="23" customHeight="1">
      <c r="A12" s="131" t="str">
        <v>Exit proceeds</v>
      </c>
      <c r="B12" s="132" t="n">
        <f>0</f>
        <v>0</v>
      </c>
      <c r="C12" s="147" t="n">
        <f>IF(1='Assumptions'!$B$39,$G$18,0)</f>
        <v>0</v>
      </c>
      <c r="D12" s="147" t="n">
        <f>IF(2='Assumptions'!$B$39,$G$18,0)</f>
        <v>0</v>
      </c>
      <c r="E12" s="147" t="n">
        <f>IF(3='Assumptions'!$B$39,$G$18,0)</f>
        <v>0</v>
      </c>
      <c r="F12" s="147" t="n">
        <f>IF(4='Assumptions'!$B$39,$G$18,0)</f>
        <v>0</v>
      </c>
      <c r="G12" s="147" t="n">
        <f>IF(5='Assumptions'!$B$39,$G$18,0)</f>
        <v>97189.93165056003</v>
      </c>
    </row>
    <row r="13" ht="24" customHeight="1">
      <c r="A13" s="125" t="inlineStr">
        <is>
          <t xml:space="preserve">EXIT VALUE</t>
        </is>
      </c>
      <c r="B13" s="126"/>
      <c r="C13" s="126"/>
      <c r="D13" s="126"/>
      <c r="E13" s="126"/>
      <c r="F13" s="126"/>
      <c r="G13" s="140"/>
    </row>
    <row r="14" ht="21" customHeight="1">
      <c r="A14" s="66" t="str">
        <v>Exit-year EBITDA</v>
      </c>
      <c r="B14" s="67"/>
      <c r="C14" s="67"/>
      <c r="D14" s="67"/>
      <c r="E14" s="67"/>
      <c r="F14" s="67"/>
      <c r="G14" s="146" t="n">
        <f>INDEX('Pro Forma P&amp;L'!C15:G15,1,'Assumptions'!$B$39)</f>
        <v>12492.933135360003</v>
      </c>
    </row>
    <row r="15" ht="21" customHeight="1">
      <c r="A15" s="66" t="inlineStr">
        <is>
          <t xml:space="preserve">Exit Multiple</t>
        </is>
      </c>
      <c r="B15" s="67"/>
      <c r="C15" s="67"/>
      <c r="D15" s="67"/>
      <c r="E15" s="67"/>
      <c r="F15" s="67"/>
      <c r="G15" s="164" t="n">
        <f>Assumptions!$B$40</f>
        <v>8.5</v>
      </c>
    </row>
    <row r="16" ht="21" customHeight="1">
      <c r="A16" s="66" t="inlineStr">
        <is>
          <t xml:space="preserve">Exit EV</t>
        </is>
      </c>
      <c r="B16" s="67"/>
      <c r="C16" s="67"/>
      <c r="D16" s="67"/>
      <c r="E16" s="67"/>
      <c r="F16" s="67"/>
      <c r="G16" s="68" t="n">
        <f>G14*G15</f>
        <v>106189.93165056003</v>
      </c>
    </row>
    <row r="17" ht="21" customHeight="1">
      <c r="A17" s="66" t="inlineStr">
        <is>
          <t xml:space="preserve">Less: Exit Debt</t>
        </is>
      </c>
      <c r="B17" s="67"/>
      <c r="C17" s="67"/>
      <c r="D17" s="67"/>
      <c r="E17" s="67"/>
      <c r="F17" s="67"/>
      <c r="G17" s="146" t="n">
        <f>-INDEX('Debt Schedule'!C7:G7,1,'Assumptions'!$B$39)</f>
        <v>-9000</v>
      </c>
    </row>
    <row r="18" ht="23" customHeight="1">
      <c r="A18" s="131" t="str">
        <v>Exit equity value, net of fees</v>
      </c>
      <c r="B18" s="132"/>
      <c r="C18" s="132"/>
      <c r="D18" s="132"/>
      <c r="E18" s="132"/>
      <c r="F18" s="132"/>
      <c r="G18" s="147" t="n">
        <f>G16*(1-'Assumptions'!$B$41)+G17</f>
        <v>97189.93165056003</v>
      </c>
    </row>
    <row r="19" ht="23" customHeight="1">
      <c r="A19" s="131" t="str">
        <v>Total equity cash flows</v>
      </c>
      <c r="B19" s="132" t="n">
        <f>B11</f>
        <v>-11000</v>
      </c>
      <c r="C19" s="132" t="n">
        <f>SUM(C11:C12)</f>
        <v>1155.5836363636372</v>
      </c>
      <c r="D19" s="132" t="n">
        <f>SUM(D11:D12)</f>
        <v>4590.571709090909</v>
      </c>
      <c r="E19" s="132" t="n">
        <f>SUM(E11:E12)</f>
        <v>5021.4966778181815</v>
      </c>
      <c r="F19" s="132" t="n">
        <f>SUM(F11:F12)</f>
        <v>5413.253370065456</v>
      </c>
      <c r="G19" s="132" t="n">
        <f>SUM(G11:G12)</f>
        <v>103031.71324321516</v>
      </c>
    </row>
    <row r="20" ht="24" customHeight="1">
      <c r="A20" s="125" t="inlineStr">
        <is>
          <t xml:space="preserve">RETURN METRICS</t>
        </is>
      </c>
      <c r="B20" s="126"/>
      <c r="C20" s="126"/>
      <c r="D20" s="126"/>
      <c r="E20" s="126"/>
      <c r="F20" s="126"/>
      <c r="G20" s="140"/>
    </row>
    <row r="21" ht="21" customHeight="1">
      <c r="A21" s="66" t="inlineStr">
        <is>
          <t xml:space="preserve">Initial Investment</t>
        </is>
      </c>
      <c r="B21" s="67"/>
      <c r="C21" s="67"/>
      <c r="D21" s="67"/>
      <c r="E21" s="67"/>
      <c r="F21" s="67"/>
      <c r="G21" s="146" t="n">
        <f>Assumptions!$B$30</f>
        <v>11000</v>
      </c>
    </row>
    <row r="22" ht="21" customHeight="1">
      <c r="A22" s="66" t="str">
        <v>Additional equity contributed</v>
      </c>
      <c r="B22" s="67"/>
      <c r="C22" s="67"/>
      <c r="D22" s="67"/>
      <c r="E22" s="67"/>
      <c r="F22" s="67"/>
      <c r="G22" s="68" t="n">
        <f> -SUMIF(C11:G12,"&lt;0",C11:G12)</f>
        <v>0</v>
      </c>
    </row>
    <row r="23" ht="21" customHeight="1">
      <c r="A23" s="66" t="str">
        <v>Total equity contributed</v>
      </c>
      <c r="B23" s="67"/>
      <c r="C23" s="67"/>
      <c r="D23" s="67"/>
      <c r="E23" s="67"/>
      <c r="F23" s="67"/>
      <c r="G23" s="68" t="n">
        <f>SUM(G21:G22)</f>
        <v>11000</v>
      </c>
    </row>
    <row r="24" ht="23" customHeight="1">
      <c r="A24" s="131" t="str">
        <v>Total cash returned</v>
      </c>
      <c r="B24" s="132"/>
      <c r="C24" s="132"/>
      <c r="D24" s="132"/>
      <c r="E24" s="132"/>
      <c r="F24" s="132"/>
      <c r="G24" s="132" t="n">
        <f>SUMIF(C11:G12,"&gt;0",C11:G12)</f>
        <v>119212.61863655335</v>
      </c>
    </row>
    <row r="25" ht="21" customHeight="1">
      <c r="A25" s="66"/>
      <c r="B25" s="67"/>
      <c r="C25" s="67"/>
      <c r="D25" s="67"/>
      <c r="E25" s="67"/>
      <c r="F25" s="67"/>
      <c r="G25" s="68"/>
    </row>
    <row r="26" ht="23" customHeight="1">
      <c r="A26" s="131" t="inlineStr">
        <is>
          <t xml:space="preserve">MOIC</t>
        </is>
      </c>
      <c r="B26" s="132"/>
      <c r="C26" s="132"/>
      <c r="D26" s="132"/>
      <c r="E26" s="132"/>
      <c r="F26" s="132"/>
      <c r="G26" s="152" t="n">
        <f>IF(G21&lt;=0,"n.a.",G24/G23)</f>
        <v>10.837510785141214</v>
      </c>
    </row>
    <row r="27" ht="23" customHeight="1">
      <c r="A27" s="131" t="inlineStr">
        <is>
          <t xml:space="preserve">IRR</t>
        </is>
      </c>
      <c r="B27" s="132"/>
      <c r="C27" s="132"/>
      <c r="D27" s="132"/>
      <c r="E27" s="132"/>
      <c r="F27" s="132"/>
      <c r="G27" s="151" t="n">
        <f>IF(G21&lt;=0,"n.a.",IF(COUNTIFS(C19:G19,"&gt;0")=0,"n.a.",IRR(B19:G19)))</f>
        <v>0.7073206919686934</v>
      </c>
    </row>
    <row r="28" ht="21" customHeight="1">
      <c r="A28" s="66"/>
      <c r="B28" s="67"/>
      <c r="C28" s="67"/>
      <c r="D28" s="67"/>
      <c r="E28" s="67"/>
      <c r="F28" s="67"/>
      <c r="G28" s="68"/>
    </row>
    <row r="29" ht="21" customHeight="1">
      <c r="A29" s="66"/>
      <c r="B29" s="67"/>
      <c r="C29" s="67"/>
      <c r="D29" s="67"/>
      <c r="E29" s="67"/>
      <c r="F29" s="67"/>
      <c r="G29" s="68"/>
    </row>
    <row r="30" ht="21" customHeight="1">
      <c r="A30" s="66"/>
      <c r="B30" s="67"/>
      <c r="C30" s="67"/>
      <c r="D30" s="67"/>
      <c r="E30" s="67"/>
      <c r="F30" s="67"/>
      <c r="G30" s="68"/>
    </row>
    <row r="31" ht="21" customHeight="1">
      <c r="A31" s="66"/>
      <c r="B31" s="67"/>
      <c r="C31" s="67"/>
      <c r="D31" s="67"/>
      <c r="E31" s="67"/>
      <c r="F31" s="67"/>
      <c r="G31" s="68"/>
    </row>
    <row r="32" ht="21" customHeight="1">
      <c r="A32" s="69"/>
      <c r="B32" s="70"/>
      <c r="C32" s="70"/>
      <c r="D32" s="70"/>
      <c r="E32" s="70"/>
      <c r="F32" s="70"/>
      <c r="G32" s="71"/>
    </row>
  </sheetData>
  <printOptions horizontalCentered="1" gridLines="0" headings="0"/>
  <pageMargins left="0.3" right="0.3" top="0.4" bottom="0.4" header="0.15" footer="0.2"/>
  <pageSetup paperSize="1" orientation="landscape" fitToWidth="1" fitToHeight="0"/>
  <headerFooter>
    <oddFooter>&amp;LZachary Vorsteg | Illustrative model&amp;RPage &amp;P of &amp;N</oddFooter>
  </headerFooter>
</worksheet>
</file>